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 activeTab="3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P13" i="7" l="1"/>
  <c r="O13" i="7"/>
  <c r="N13" i="7"/>
  <c r="M13" i="7"/>
  <c r="L13" i="7"/>
  <c r="K13" i="7"/>
  <c r="J13" i="7"/>
  <c r="I13" i="7"/>
  <c r="H13" i="7"/>
  <c r="Q13" i="7" s="1"/>
  <c r="P12" i="7"/>
  <c r="O12" i="7"/>
  <c r="N12" i="7"/>
  <c r="M12" i="7"/>
  <c r="L12" i="7"/>
  <c r="K12" i="7"/>
  <c r="J12" i="7"/>
  <c r="I12" i="7"/>
  <c r="H12" i="7"/>
  <c r="W24" i="7" l="1"/>
  <c r="V24" i="7"/>
  <c r="U24" i="7"/>
  <c r="T24" i="7"/>
  <c r="S24" i="7"/>
  <c r="R24" i="7"/>
  <c r="P24" i="7"/>
  <c r="O24" i="7"/>
  <c r="N24" i="7"/>
  <c r="M24" i="7"/>
  <c r="L24" i="7"/>
  <c r="K24" i="7"/>
  <c r="J24" i="7"/>
  <c r="I24" i="7"/>
  <c r="H24" i="7"/>
  <c r="F24" i="7"/>
  <c r="W23" i="7"/>
  <c r="V23" i="7"/>
  <c r="U23" i="7"/>
  <c r="T23" i="7"/>
  <c r="S23" i="7"/>
  <c r="R23" i="7"/>
  <c r="P23" i="7"/>
  <c r="O23" i="7"/>
  <c r="N23" i="7"/>
  <c r="M23" i="7"/>
  <c r="L23" i="7"/>
  <c r="K23" i="7"/>
  <c r="J23" i="7"/>
  <c r="I23" i="7"/>
  <c r="H23" i="7"/>
  <c r="F23" i="7"/>
  <c r="E7" i="18"/>
  <c r="E6" i="18"/>
  <c r="E4" i="18"/>
  <c r="E7" i="17"/>
  <c r="E6" i="17"/>
  <c r="E4" i="17"/>
  <c r="Q23" i="7" l="1"/>
  <c r="Q24" i="7"/>
  <c r="X23" i="7"/>
  <c r="X24" i="7"/>
  <c r="C33" i="15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L31" i="18" s="1"/>
  <c r="K53" i="18"/>
  <c r="G63" i="18"/>
  <c r="F5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K21" i="18"/>
  <c r="H31" i="18"/>
  <c r="K31" i="18"/>
  <c r="G31" i="18"/>
  <c r="J31" i="18"/>
  <c r="F31" i="18"/>
  <c r="M31" i="18"/>
  <c r="H53" i="18"/>
  <c r="H63" i="18"/>
  <c r="D24" i="15"/>
  <c r="C23" i="15"/>
  <c r="H21" i="18" l="1"/>
  <c r="F21" i="18"/>
  <c r="I31" i="18"/>
  <c r="N31" i="18"/>
  <c r="E31" i="18" s="1"/>
  <c r="L21" i="18"/>
  <c r="J21" i="18"/>
  <c r="M21" i="18"/>
  <c r="G21" i="18"/>
  <c r="E21" i="18" s="1"/>
  <c r="I21" i="18"/>
  <c r="D56" i="18"/>
  <c r="J55" i="18" s="1"/>
  <c r="D66" i="18"/>
  <c r="K65" i="18" s="1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65" i="18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S12" i="7"/>
  <c r="T12" i="7"/>
  <c r="U12" i="7"/>
  <c r="V12" i="7"/>
  <c r="W12" i="7"/>
  <c r="R12" i="7"/>
  <c r="X12" i="7" l="1"/>
  <c r="X20" i="7"/>
  <c r="X13" i="7"/>
  <c r="X11" i="7"/>
  <c r="X22" i="7"/>
  <c r="X21" i="7"/>
  <c r="X19" i="7"/>
  <c r="X18" i="7"/>
  <c r="X15" i="7"/>
  <c r="X14" i="7"/>
  <c r="X16" i="7"/>
  <c r="X17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I14" i="7" l="1"/>
  <c r="M14" i="7"/>
  <c r="H15" i="7"/>
  <c r="L15" i="7"/>
  <c r="P15" i="7"/>
  <c r="K16" i="7"/>
  <c r="O16" i="7"/>
  <c r="J17" i="7"/>
  <c r="N17" i="7"/>
  <c r="I18" i="7"/>
  <c r="M18" i="7"/>
  <c r="H19" i="7"/>
  <c r="L19" i="7"/>
  <c r="P19" i="7"/>
  <c r="K20" i="7"/>
  <c r="O20" i="7"/>
  <c r="I21" i="7"/>
  <c r="M21" i="7"/>
  <c r="H22" i="7"/>
  <c r="L22" i="7"/>
  <c r="P22" i="7"/>
  <c r="N11" i="7"/>
  <c r="L11" i="7"/>
  <c r="H11" i="7"/>
  <c r="K14" i="7"/>
  <c r="N15" i="7"/>
  <c r="M16" i="7"/>
  <c r="L17" i="7"/>
  <c r="K18" i="7"/>
  <c r="J19" i="7"/>
  <c r="I20" i="7"/>
  <c r="O21" i="7"/>
  <c r="N22" i="7"/>
  <c r="P11" i="7"/>
  <c r="H14" i="7"/>
  <c r="P14" i="7"/>
  <c r="O15" i="7"/>
  <c r="N16" i="7"/>
  <c r="M17" i="7"/>
  <c r="L18" i="7"/>
  <c r="K19" i="7"/>
  <c r="J20" i="7"/>
  <c r="H21" i="7"/>
  <c r="P21" i="7"/>
  <c r="O22" i="7"/>
  <c r="M11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J21" i="7"/>
  <c r="N21" i="7"/>
  <c r="I22" i="7"/>
  <c r="M22" i="7"/>
  <c r="O11" i="7"/>
  <c r="J11" i="7"/>
  <c r="O14" i="7"/>
  <c r="J15" i="7"/>
  <c r="I16" i="7"/>
  <c r="H17" i="7"/>
  <c r="P17" i="7"/>
  <c r="O18" i="7"/>
  <c r="N19" i="7"/>
  <c r="M20" i="7"/>
  <c r="K21" i="7"/>
  <c r="J22" i="7"/>
  <c r="K11" i="7"/>
  <c r="L14" i="7"/>
  <c r="K15" i="7"/>
  <c r="J16" i="7"/>
  <c r="I17" i="7"/>
  <c r="H18" i="7"/>
  <c r="P18" i="7"/>
  <c r="O19" i="7"/>
  <c r="N20" i="7"/>
  <c r="L21" i="7"/>
  <c r="K22" i="7"/>
  <c r="I11" i="7"/>
  <c r="F21" i="7"/>
  <c r="F20" i="7"/>
  <c r="F18" i="7"/>
  <c r="F16" i="7"/>
  <c r="F14" i="7"/>
  <c r="F22" i="7"/>
  <c r="F19" i="7"/>
  <c r="F17" i="7"/>
  <c r="F15" i="7"/>
  <c r="F11" i="7"/>
  <c r="M8" i="4"/>
  <c r="M7" i="4"/>
  <c r="D6" i="15"/>
  <c r="D6" i="7"/>
  <c r="C25" i="7" l="1"/>
  <c r="C26" i="7"/>
  <c r="Q17" i="7"/>
  <c r="Q14" i="7"/>
  <c r="Q11" i="7"/>
  <c r="Q19" i="7"/>
  <c r="Q12" i="7"/>
  <c r="Q15" i="7"/>
  <c r="Q20" i="7"/>
  <c r="Q18" i="7"/>
  <c r="Q16" i="7"/>
  <c r="Q21" i="7"/>
  <c r="Q22" i="7"/>
  <c r="C41" i="7"/>
  <c r="C29" i="7"/>
  <c r="C20" i="7"/>
  <c r="C14" i="7"/>
  <c r="C12" i="7"/>
  <c r="C19" i="7"/>
  <c r="C31" i="7"/>
  <c r="C32" i="7"/>
  <c r="C16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<sst xmlns="http://schemas.openxmlformats.org/spreadsheetml/2006/main" count="1362" uniqueCount="677">
  <si>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</si>
  <si>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</si>
  <si>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</si>
  <si>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</si>
  <si>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</si>
  <si>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</si>
  <si>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</si>
  <si>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</si>
  <si>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</si>
  <si>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</si>
  <si>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</si>
  <si>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</si>
  <si>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</si>
  <si>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</si>
  <si>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</si>
  <si>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</si>
  <si>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</si>
  <si>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</si>
  <si>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</si>
  <si>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</si>
  <si>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</si>
  <si>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</si>
  <si>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</si>
  <si>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</si>
  <si>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</si>
  <si>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</si>
  <si>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</si>
  <si>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</si>
  <si>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</si>
  <si>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</si>
  <si>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</si>
  <si>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</si>
  <si>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</si>
  <si>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</si>
  <si>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</si>
  <si>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</si>
  <si>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</si>
  <si>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</si>
  <si>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</si>
  <si>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</si>
  <si>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</si>
  <si>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</si>
  <si>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</si>
  <si>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</si>
  <si>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</si>
  <si>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</si>
  <si>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</si>
  <si>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</si>
  <si>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</si>
  <si>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</si>
  <si>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</si>
  <si>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</si>
  <si>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</si>
  <si>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</si>
  <si>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</si>
  <si>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</si>
  <si>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</si>
  <si>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</si>
  <si>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</si>
  <si>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</si>
  <si>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</si>
  <si>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</si>
  <si>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</si>
  <si>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</si>
  <si>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</si>
  <si>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</si>
  <si>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</si>
  <si>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</si>
  <si>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</si>
  <si>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</si>
  <si>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</si>
  <si>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</si>
  <si>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</si>
  <si>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</si>
  <si>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</si>
  <si>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</si>
  <si>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</si>
  <si>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</si>
  <si>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</si>
  <si>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</si>
  <si>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</si>
  <si>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</si>
  <si>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</si>
  <si>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</si>
  <si>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</si>
  <si>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</si>
  <si>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</si>
  <si>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</si>
  <si>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</si>
  <si>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</si>
  <si>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</si>
  <si>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</si>
  <si>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</si>
  <si>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</si>
  <si>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</si>
  <si>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</si>
  <si>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</si>
  <si>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</si>
  <si>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</si>
  <si>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</si>
  <si>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</si>
  <si>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</si>
  <si>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</si>
  <si>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</si>
  <si>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</si>
  <si>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</si>
  <si>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</si>
  <si>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</si>
  <si>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</si>
  <si>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</si>
  <si>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</si>
  <si>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</si>
  <si>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</si>
  <si>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</si>
  <si>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</si>
  <si>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</si>
  <si>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</si>
  <si>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</si>
  <si>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</si>
  <si>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</si>
  <si>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</si>
  <si>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</si>
  <si>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</si>
  <si>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</si>
  <si>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</si>
  <si>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</si>
  <si>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</si>
  <si>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</si>
  <si>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</si>
  <si>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</si>
  <si>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</si>
  <si>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</si>
  <si>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</si>
  <si>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</si>
  <si>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</si>
  <si>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</si>
  <si>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</si>
  <si>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</si>
  <si>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</si>
  <si>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</si>
  <si>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</si>
  <si>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</si>
  <si>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</si>
  <si>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</si>
  <si>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</si>
  <si>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</si>
  <si>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</si>
  <si>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</si>
  <si>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</si>
  <si>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</si>
  <si>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</si>
  <si>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</si>
  <si>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</si>
  <si>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</si>
  <si>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</si>
  <si>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</si>
  <si>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</si>
  <si>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</si>
  <si>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</si>
  <si>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</si>
  <si>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</si>
  <si>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</si>
  <si>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</si>
  <si>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</si>
  <si>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</si>
  <si>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</si>
  <si>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</si>
  <si>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</si>
  <si>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</si>
  <si>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</si>
  <si>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</si>
  <si>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</si>
  <si>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</si>
  <si>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</si>
  <si>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</si>
  <si>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</si>
  <si>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</si>
  <si>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</si>
  <si>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</si>
  <si>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</si>
  <si>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</si>
  <si>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</si>
  <si>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</si>
  <si>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</si>
  <si>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</si>
  <si>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</si>
  <si>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</si>
  <si>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</si>
  <si>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</si>
  <si>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</si>
  <si>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</si>
  <si>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</si>
  <si>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</si>
  <si>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</si>
  <si>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</si>
  <si>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</si>
  <si>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</si>
  <si>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</si>
  <si>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</si>
  <si>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</si>
  <si>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</si>
  <si>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</si>
  <si>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</si>
  <si>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</si>
  <si>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</si>
  <si>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</si>
  <si>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</si>
  <si>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</si>
  <si>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</si>
  <si>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</si>
  <si>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</si>
  <si>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</si>
  <si>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</si>
  <si>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</si>
  <si>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</si>
  <si>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</si>
  <si>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</si>
  <si>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</si>
  <si>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</si>
  <si>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</si>
  <si>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</si>
  <si>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</si>
  <si>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</si>
  <si>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</si>
  <si>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</si>
  <si>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</si>
  <si>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</si>
  <si>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</si>
  <si>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</si>
  <si>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</si>
  <si>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</si>
  <si>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</si>
  <si>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</si>
  <si>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</si>
  <si>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</si>
  <si>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</si>
  <si>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</si>
  <si>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</si>
  <si>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</si>
  <si>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</si>
  <si>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</si>
  <si>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</si>
  <si>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</si>
  <si>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</si>
  <si>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</si>
  <si>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</si>
  <si>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</si>
  <si>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</si>
  <si>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</si>
  <si>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</si>
  <si>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</si>
  <si>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</si>
  <si>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</si>
  <si>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</si>
  <si>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</si>
  <si>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</si>
  <si>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</si>
  <si>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</si>
  <si>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</si>
  <si>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</si>
  <si>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</si>
  <si>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</si>
  <si>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</si>
  <si>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</si>
  <si>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</si>
  <si>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</si>
  <si>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</si>
  <si>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</si>
  <si>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</si>
  <si>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</si>
  <si>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</si>
  <si>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</si>
  <si>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</si>
  <si>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</si>
  <si>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</si>
  <si>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</si>
  <si>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</si>
  <si>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</si>
  <si>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</si>
  <si>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</si>
  <si>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</si>
  <si>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</si>
  <si>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</si>
  <si>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</si>
  <si>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</si>
  <si>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</si>
  <si>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</si>
  <si>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</si>
  <si>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</si>
  <si>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</si>
  <si>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</si>
  <si>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</si>
  <si>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</si>
  <si>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</si>
  <si>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</si>
  <si>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</si>
  <si>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</si>
  <si>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</si>
  <si>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</si>
  <si>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</si>
  <si>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</si>
  <si>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</si>
  <si>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</si>
  <si>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</si>
  <si>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</si>
  <si>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</si>
  <si>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</si>
  <si>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</si>
  <si>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</si>
  <si>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</si>
  <si>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</si>
  <si>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</si>
  <si>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</si>
  <si>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</si>
  <si>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</si>
  <si>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</si>
  <si>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</si>
  <si>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</si>
  <si>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</si>
  <si>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</si>
  <si>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</si>
  <si>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</si>
  <si>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</si>
  <si>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</si>
  <si>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</si>
  <si>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</si>
  <si>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</si>
  <si>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</si>
  <si>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</si>
  <si>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</si>
  <si>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</si>
  <si>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</si>
  <si>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</si>
  <si>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</si>
  <si>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</si>
  <si>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</si>
  <si>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</si>
  <si>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</si>
  <si>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</si>
  <si>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</si>
  <si>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</si>
  <si>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</si>
  <si>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</si>
  <si>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</si>
  <si>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</si>
  <si>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</si>
  <si>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</si>
  <si>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</si>
  <si>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</si>
  <si>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</si>
  <si>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</si>
  <si>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</si>
  <si>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</si>
  <si>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</si>
  <si>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</si>
  <si>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</si>
  <si>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</si>
  <si>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</si>
  <si>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</si>
  <si>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</si>
  <si>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</si>
  <si>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</si>
  <si>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</si>
  <si>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</si>
  <si>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</si>
  <si>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</si>
  <si>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</si>
  <si>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</si>
  <si>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</si>
  <si>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</si>
  <si>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</si>
  <si>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</si>
  <si>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</si>
  <si>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</si>
  <si>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</si>
  <si>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</si>
  <si>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</si>
  <si>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</si>
  <si>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</si>
  <si>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</si>
  <si>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</si>
  <si>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</si>
  <si>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</si>
  <si>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</si>
  <si>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</si>
  <si>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</si>
  <si>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</si>
  <si>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</si>
  <si>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</si>
  <si>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</si>
  <si>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</si>
  <si>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</si>
  <si>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</si>
  <si>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</si>
  <si>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</si>
  <si>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</si>
  <si>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</si>
  <si>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</si>
  <si>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</si>
  <si>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</si>
  <si>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</si>
  <si>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</si>
  <si>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</si>
  <si>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</si>
  <si>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</si>
  <si>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</si>
  <si>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</si>
  <si>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</si>
  <si>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</si>
  <si>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</si>
  <si>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</si>
  <si>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</si>
  <si>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</si>
  <si>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</si>
  <si>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</si>
  <si>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</si>
  <si>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</si>
  <si>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</si>
  <si>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</si>
  <si>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</si>
  <si>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</si>
  <si>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</si>
  <si>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</si>
  <si>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</si>
  <si>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</si>
  <si>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</si>
  <si>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</si>
  <si>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</si>
  <si>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</si>
  <si>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</si>
  <si>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</si>
  <si>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</si>
  <si>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</si>
  <si>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</si>
  <si>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</si>
  <si>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</si>
  <si>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</si>
  <si>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</si>
  <si>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</si>
  <si>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</si>
  <si>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</si>
  <si>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</si>
  <si>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</si>
  <si>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</si>
  <si>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</si>
  <si>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</si>
  <si>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</si>
  <si>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</si>
  <si>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</si>
  <si>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</si>
  <si>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</si>
  <si>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</si>
  <si>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</si>
  <si>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</si>
  <si>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</si>
  <si>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</si>
  <si>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</si>
  <si>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</si>
  <si>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</si>
  <si>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</si>
  <si>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</si>
  <si>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</si>
  <si>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</si>
  <si>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</si>
  <si>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</si>
  <si>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</si>
  <si>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</si>
  <si>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</si>
  <si>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</si>
  <si>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</si>
  <si>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</si>
  <si>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</si>
  <si>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</si>
  <si>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</si>
  <si>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</si>
  <si>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</si>
  <si>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</si>
  <si>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</si>
  <si>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</si>
  <si>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</si>
  <si>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</si>
  <si>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</si>
  <si>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</si>
  <si>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</si>
  <si>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</si>
  <si>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</si>
  <si>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</si>
  <si>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</si>
  <si>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</si>
  <si>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</si>
  <si>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</si>
  <si>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</si>
  <si>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</si>
  <si>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</si>
  <si>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</si>
  <si>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</si>
  <si>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</si>
  <si>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</si>
  <si>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</si>
  <si>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</si>
  <si>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</si>
  <si>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</si>
  <si>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</si>
  <si>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</si>
  <si>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</si>
  <si>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</si>
  <si>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</si>
  <si>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</si>
  <si>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</si>
  <si>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</si>
  <si>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</si>
  <si>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</si>
  <si>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</si>
  <si>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</si>
  <si>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</si>
  <si>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</si>
  <si>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</si>
  <si>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</si>
  <si>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</si>
  <si>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</si>
  <si>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</si>
  <si>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</si>
  <si>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</si>
  <si>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</si>
  <si>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</si>
  <si>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</si>
  <si>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</si>
  <si>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</si>
  <si>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</si>
  <si>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</si>
  <si>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</si>
  <si>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</si>
  <si>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</si>
  <si>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</si>
  <si>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</si>
  <si>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</si>
  <si>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</si>
  <si>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</si>
  <si>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</si>
  <si>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</si>
  <si>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</si>
  <si>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</si>
  <si>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</si>
  <si>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</si>
  <si>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</si>
  <si>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</si>
  <si>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</si>
  <si>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</si>
  <si>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</si>
  <si>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</si>
  <si>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</si>
  <si>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</si>
  <si>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</si>
  <si>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</si>
  <si>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</si>
  <si>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</si>
  <si>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</si>
  <si>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</si>
  <si>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</si>
  <si>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</si>
  <si>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</si>
  <si>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</si>
  <si>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</si>
  <si>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</si>
  <si>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</si>
  <si>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</si>
  <si>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</si>
  <si>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</si>
  <si>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</si>
  <si>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</si>
  <si>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</si>
  <si>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</si>
  <si>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</si>
  <si>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</si>
  <si>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</si>
  <si>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</si>
  <si>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</si>
  <si>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</si>
  <si>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</si>
  <si>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</si>
  <si>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</si>
  <si>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</si>
  <si>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</si>
  <si>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</si>
  <si>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</si>
  <si>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</si>
  <si>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</si>
  <si>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</si>
  <si>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</si>
  <si>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</si>
  <si>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</si>
  <si>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</si>
  <si>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</si>
  <si>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</si>
  <si>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</si>
  <si>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</si>
  <si>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</si>
  <si>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</si>
  <si>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</si>
  <si>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</si>
  <si>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</si>
  <si>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</si>
  <si>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</si>
  <si>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</si>
  <si>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</si>
  <si>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</si>
  <si>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</si>
  <si>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</si>
  <si>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</si>
  <si>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</si>
  <si>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</si>
  <si>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</si>
  <si>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</si>
  <si>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</si>
  <si>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</si>
  <si>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</si>
  <si>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</si>
  <si>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</si>
  <si>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</si>
  <si>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</si>
  <si>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</si>
  <si>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</si>
  <si>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</si>
  <si>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</si>
  <si>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</si>
  <si>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</si>
  <si>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</si>
  <si>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</si>
  <si>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</si>
  <si>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</si>
  <si>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</si>
  <si>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</si>
  <si>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</si>
  <si>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</si>
  <si>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</si>
  <si>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</si>
  <si>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</si>
  <si>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</si>
  <si>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</si>
  <si>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</si>
  <si>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</si>
  <si>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</si>
  <si>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</si>
  <si>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</si>
  <si>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</si>
  <si>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</si>
  <si>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</si>
  <si>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</si>
  <si>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</si>
  <si>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</si>
  <si>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</si>
  <si>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</si>
  <si>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</si>
  <si>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</si>
  <si>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</si>
  <si>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DE_GKO04</t>
  </si>
  <si>
    <t>DE_GMK04</t>
  </si>
  <si>
    <t>DE_GHA04</t>
  </si>
  <si>
    <t>DE_GBD04</t>
  </si>
  <si>
    <t>DE_GGA04</t>
  </si>
  <si>
    <t>DE_GBH04</t>
  </si>
  <si>
    <t>DE_GWA04</t>
  </si>
  <si>
    <t>DE_GGB04</t>
  </si>
  <si>
    <t>DE_GPD04</t>
  </si>
  <si>
    <t>DE_GBA04</t>
  </si>
  <si>
    <t>DE_GMF04</t>
  </si>
  <si>
    <t>Stuttgart Schnarrenberg</t>
  </si>
  <si>
    <t>NCHN007003600000</t>
  </si>
  <si>
    <t>9870036000006</t>
  </si>
  <si>
    <t>Ringstr. 5</t>
  </si>
  <si>
    <t>D-70736</t>
  </si>
  <si>
    <t>Fellbach</t>
  </si>
  <si>
    <t>Angelika Hudak</t>
  </si>
  <si>
    <t>hudak@stadtwerke-fellbach.de</t>
  </si>
  <si>
    <t>0711/57543-47</t>
  </si>
  <si>
    <t>Stadt Fellbach</t>
  </si>
  <si>
    <t>Stadtwerke Fellbach 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</si>
</sst>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64" borderId="7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U11" sqref="U1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337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28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C7" sqref="C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654</v>
      </c>
      <c r="D4" s="27">
        <v>43361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653</v>
      </c>
      <c r="D6" s="27">
        <v>43466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676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487</v>
      </c>
      <c r="D11" s="332" t="s">
        <v>668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669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 t="s">
        <v>670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671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672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673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674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461</v>
      </c>
      <c r="D27" s="42" t="s">
        <v>395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Stadt Fellbach</v>
      </c>
      <c r="E28" s="38"/>
      <c r="F28" s="11"/>
      <c r="G28" s="2"/>
    </row>
    <row r="29" spans="1:15">
      <c r="B29" s="15"/>
      <c r="C29" s="22" t="s">
        <v>395</v>
      </c>
      <c r="D29" s="45" t="s">
        <v>675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71" priority="2">
      <formula>IF(CELL("Zeile",D29)&lt;$D$25+CELL("Zeile",$D$29),1,0)</formula>
    </cfRule>
  </conditionalFormatting>
  <conditionalFormatting sqref="D30:D48">
    <cfRule type="expression" dxfId="70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3" zoomScale="80" zoomScaleNormal="80" workbookViewId="0">
      <selection activeCell="E30" sqref="E30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Stadtwerke Fellbach 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Stadt Fellbach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9" t="str">
        <f>Netzbetreiber!$D$11</f>
        <v>9870036000006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43466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2" t="s">
        <v>255</v>
      </c>
      <c r="I11" s="272" t="s">
        <v>258</v>
      </c>
      <c r="J11" s="272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615</v>
      </c>
      <c r="D13" s="33" t="s">
        <v>616</v>
      </c>
      <c r="E13" s="15"/>
      <c r="H13" s="272" t="s">
        <v>616</v>
      </c>
      <c r="I13" s="272" t="s">
        <v>617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432</v>
      </c>
      <c r="D15" s="42" t="s">
        <v>667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430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70" t="s">
        <v>256</v>
      </c>
      <c r="I18" s="270" t="s">
        <v>134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575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84</v>
      </c>
      <c r="C22" s="8" t="s">
        <v>613</v>
      </c>
      <c r="D22" s="49" t="s">
        <v>609</v>
      </c>
      <c r="E22" s="15"/>
      <c r="H22" s="268" t="s">
        <v>609</v>
      </c>
      <c r="I22" s="268" t="s">
        <v>610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611</v>
      </c>
      <c r="E23" s="15"/>
      <c r="H23" s="268" t="s">
        <v>612</v>
      </c>
      <c r="I23" s="8" t="s">
        <v>608</v>
      </c>
      <c r="J23" s="8"/>
      <c r="K23" s="8"/>
      <c r="L23" s="269"/>
    </row>
    <row r="24" spans="2:16" ht="15" customHeight="1">
      <c r="B24" s="22"/>
      <c r="C24" s="24" t="s">
        <v>614</v>
      </c>
      <c r="D24" s="24" t="str">
        <f>IF(D22=$H$22,L24,IF(D23=$H$24,M24,N24))</f>
        <v>=&gt;  Q(D) = KW  x  h(T, SLP-Typ)  x  F(WT)</v>
      </c>
      <c r="E24" s="15"/>
      <c r="H24" s="268" t="s">
        <v>611</v>
      </c>
      <c r="I24" s="268" t="s">
        <v>618</v>
      </c>
      <c r="J24" s="8"/>
      <c r="K24" s="8"/>
      <c r="L24" s="271" t="s">
        <v>619</v>
      </c>
      <c r="M24" s="271" t="s">
        <v>621</v>
      </c>
      <c r="N24" s="271" t="s">
        <v>620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370</v>
      </c>
      <c r="C26" s="6" t="s">
        <v>578</v>
      </c>
      <c r="D26" s="42" t="s">
        <v>135</v>
      </c>
      <c r="E26" s="15"/>
      <c r="H26" s="270" t="s">
        <v>133</v>
      </c>
      <c r="I26" s="270" t="s">
        <v>135</v>
      </c>
      <c r="J26" s="268"/>
      <c r="K26" s="268"/>
      <c r="L26" s="269"/>
    </row>
    <row r="27" spans="2:16" ht="15" customHeight="1">
      <c r="B27" s="7"/>
      <c r="C27" s="6" t="s">
        <v>622</v>
      </c>
      <c r="D27" s="42" t="s">
        <v>623</v>
      </c>
      <c r="E27" s="15"/>
      <c r="H27" s="298" t="s">
        <v>623</v>
      </c>
      <c r="I27" s="270" t="s">
        <v>624</v>
      </c>
      <c r="J27" s="270" t="s">
        <v>625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626</v>
      </c>
      <c r="I28" s="271" t="s">
        <v>627</v>
      </c>
      <c r="J28" s="271" t="s">
        <v>628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629</v>
      </c>
      <c r="I29" s="271" t="s">
        <v>630</v>
      </c>
      <c r="J29" s="271" t="s">
        <v>631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577</v>
      </c>
      <c r="D31" s="42" t="s">
        <v>135</v>
      </c>
      <c r="E31" s="15"/>
      <c r="H31" s="270" t="s">
        <v>133</v>
      </c>
      <c r="I31" s="270" t="s">
        <v>135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632</v>
      </c>
      <c r="I32" s="271" t="s">
        <v>633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634</v>
      </c>
      <c r="I33" s="268" t="s">
        <v>629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549</v>
      </c>
      <c r="C35" s="24" t="s">
        <v>497</v>
      </c>
      <c r="D35" s="42">
        <v>13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550</v>
      </c>
      <c r="C37" s="5" t="s">
        <v>365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551</v>
      </c>
      <c r="C40" s="5" t="s">
        <v>366</v>
      </c>
      <c r="D40" s="36">
        <v>500</v>
      </c>
      <c r="E40" s="15" t="s">
        <v>541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540</v>
      </c>
    </row>
    <row r="44" spans="2:39" ht="18" customHeight="1">
      <c r="C44" s="3" t="s">
        <v>542</v>
      </c>
    </row>
    <row r="45" spans="2:39" ht="18" customHeight="1">
      <c r="C45" s="3"/>
    </row>
    <row r="46" spans="2:39" ht="15" customHeight="1">
      <c r="B46" s="22" t="s">
        <v>552</v>
      </c>
      <c r="C46" s="60" t="s">
        <v>576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586</v>
      </c>
      <c r="D48" s="45" t="s">
        <v>675</v>
      </c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  <row r="60" spans="3:4" ht="18" customHeight="1">
      <c r="C60" s="22" t="s">
        <v>598</v>
      </c>
      <c r="D60" s="45"/>
    </row>
    <row r="61" spans="3:4" ht="18" customHeight="1">
      <c r="C61" s="22" t="s">
        <v>599</v>
      </c>
      <c r="D61" s="45"/>
    </row>
    <row r="62" spans="3:4" ht="18" customHeight="1">
      <c r="C62" s="22" t="s">
        <v>600</v>
      </c>
      <c r="D62" s="45"/>
    </row>
  </sheetData>
  <sheetProtection sheet="1" objects="1" scenarios="1"/>
  <conditionalFormatting sqref="D15">
    <cfRule type="expression" dxfId="69" priority="21">
      <formula>IF($D$11="Gaspool",1,0)</formula>
    </cfRule>
  </conditionalFormatting>
  <conditionalFormatting sqref="D16">
    <cfRule type="expression" dxfId="68" priority="18">
      <formula>IF($D$11="NCG",1,0)</formula>
    </cfRule>
  </conditionalFormatting>
  <conditionalFormatting sqref="D48:D62">
    <cfRule type="expression" dxfId="67" priority="17">
      <formula>IF(CELL("Zeile",D48)&lt;$D$46+CELL("Zeile",$D$48),1,0)</formula>
    </cfRule>
  </conditionalFormatting>
  <conditionalFormatting sqref="D49:D62">
    <cfRule type="expression" dxfId="66" priority="16">
      <formula>IF(CELL(D49)&lt;$D$36+27,1,0)</formula>
    </cfRule>
  </conditionalFormatting>
  <conditionalFormatting sqref="D23">
    <cfRule type="expression" dxfId="65" priority="15">
      <formula>IF($D$22=$H$22,1,0)</formula>
    </cfRule>
  </conditionalFormatting>
  <conditionalFormatting sqref="D31">
    <cfRule type="expression" dxfId="64" priority="4">
      <formula>IF($D$18="synthetisch",1,0)</formula>
    </cfRule>
  </conditionalFormatting>
  <conditionalFormatting sqref="D28">
    <cfRule type="expression" dxfId="63" priority="2">
      <formula>IF(AND($D$27=$I$27,$D$26=$H$26),1,0)</formula>
    </cfRule>
  </conditionalFormatting>
  <conditionalFormatting sqref="D26:D28">
    <cfRule type="expression" dxfId="62" priority="5">
      <formula>IF($D$18="analytisch",1,0)</formula>
    </cfRule>
  </conditionalFormatting>
  <conditionalFormatting sqref="D27">
    <cfRule type="expression" dxfId="61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zoomScale="70" zoomScaleNormal="70" workbookViewId="0">
      <selection activeCell="J23" sqref="J23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544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Netzbetreiber!D9</f>
        <v>Stadtwerke Fellbach  GmbH</v>
      </c>
      <c r="F4" s="331"/>
      <c r="G4" s="331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Stadt Fellbach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Netzbetreiber!D11</f>
        <v>9870036000006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Netzbetreiber!D6</f>
        <v>43466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523</v>
      </c>
      <c r="D9" s="130"/>
      <c r="E9" s="130"/>
      <c r="F9" s="154">
        <f>'SLP-Verfahren'!D46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585</v>
      </c>
      <c r="D10" s="130"/>
      <c r="E10" s="130"/>
      <c r="F10" s="49">
        <v>1</v>
      </c>
      <c r="G10" s="57"/>
      <c r="H10" s="172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603</v>
      </c>
      <c r="D11" s="130"/>
      <c r="E11" s="130"/>
      <c r="F11" s="334" t="str">
        <f>INDEX('SLP-Verfahren'!D48:D62,'SLP-Temp-Gebiet #01'!F10)</f>
        <v>Stadt Fellbach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584</v>
      </c>
      <c r="D13" s="342"/>
      <c r="E13" s="342"/>
      <c r="F13" s="182" t="s">
        <v>548</v>
      </c>
      <c r="G13" s="130" t="s">
        <v>546</v>
      </c>
      <c r="H13" s="262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450</v>
      </c>
      <c r="D14" s="343"/>
      <c r="E14" s="89" t="s">
        <v>451</v>
      </c>
      <c r="F14" s="263" t="s">
        <v>84</v>
      </c>
      <c r="G14" s="264" t="s">
        <v>572</v>
      </c>
      <c r="H14" s="51">
        <v>0</v>
      </c>
      <c r="I14" s="57"/>
      <c r="J14" s="130"/>
      <c r="K14" s="130"/>
      <c r="L14" s="130"/>
      <c r="M14" s="130"/>
      <c r="N14" s="130"/>
      <c r="O14" s="333" t="s">
        <v>651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2:56" ht="19.5" customHeight="1">
      <c r="B15" s="130"/>
      <c r="C15" s="343" t="s">
        <v>387</v>
      </c>
      <c r="D15" s="343"/>
      <c r="E15" s="89" t="s">
        <v>451</v>
      </c>
      <c r="F15" s="263" t="s">
        <v>70</v>
      </c>
      <c r="G15" s="264" t="s">
        <v>566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549</v>
      </c>
      <c r="AJ15" s="261" t="s">
        <v>550</v>
      </c>
      <c r="AK15" s="261" t="s">
        <v>551</v>
      </c>
      <c r="AL15" s="261" t="s">
        <v>552</v>
      </c>
      <c r="AM15" s="261" t="s">
        <v>553</v>
      </c>
      <c r="AN15" s="261" t="s">
        <v>554</v>
      </c>
      <c r="AO15" s="261" t="s">
        <v>555</v>
      </c>
      <c r="AP15" s="261" t="s">
        <v>556</v>
      </c>
      <c r="AQ15" s="261" t="s">
        <v>557</v>
      </c>
      <c r="AR15" s="261" t="s">
        <v>558</v>
      </c>
      <c r="AS15" s="261" t="s">
        <v>559</v>
      </c>
      <c r="AT15" s="261" t="s">
        <v>560</v>
      </c>
      <c r="AU15" s="261" t="s">
        <v>561</v>
      </c>
      <c r="AV15" s="261" t="s">
        <v>562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518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524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519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526</v>
      </c>
      <c r="D21" s="153" t="s">
        <v>517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537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504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521</v>
      </c>
      <c r="D24" s="187"/>
      <c r="E24" s="156" t="s">
        <v>666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4" t="s">
        <v>522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>
        <v>10739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520</v>
      </c>
      <c r="D28" s="130"/>
      <c r="E28" s="130"/>
      <c r="F28" s="49">
        <v>1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0</v>
      </c>
      <c r="G29" s="177">
        <f t="shared" si="2"/>
        <v>0</v>
      </c>
      <c r="H29" s="177">
        <f t="shared" si="2"/>
        <v>0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527</v>
      </c>
      <c r="D31" s="185" t="s">
        <v>253</v>
      </c>
      <c r="E31" s="280">
        <f>1-SUMPRODUCT(F29:N29,F31:N31)</f>
        <v>1</v>
      </c>
      <c r="F31" s="280">
        <f>ROUND(F32/$D$32,4)</f>
        <v>0</v>
      </c>
      <c r="G31" s="280">
        <f t="shared" ref="G31:N31" si="3">ROUND(G32/$D$32,4)</f>
        <v>0</v>
      </c>
      <c r="H31" s="280">
        <f t="shared" si="3"/>
        <v>0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533</v>
      </c>
      <c r="D32" s="286">
        <f>SUMPRODUCT(E32:N32,E29:N29)</f>
        <v>1</v>
      </c>
      <c r="E32" s="281">
        <v>1</v>
      </c>
      <c r="F32" s="281"/>
      <c r="G32" s="281"/>
      <c r="H32" s="281"/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361</v>
      </c>
      <c r="D33" s="153" t="s">
        <v>360</v>
      </c>
      <c r="E33" s="156" t="s">
        <v>3</v>
      </c>
      <c r="F33" s="156"/>
      <c r="G33" s="156"/>
      <c r="H33" s="156"/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2"/>
      <c r="C34" s="186" t="s">
        <v>453</v>
      </c>
      <c r="D34" s="153" t="s">
        <v>452</v>
      </c>
      <c r="E34" s="156" t="s">
        <v>514</v>
      </c>
      <c r="F34" s="156"/>
      <c r="G34" s="156"/>
      <c r="H34" s="156"/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605</v>
      </c>
      <c r="D35" s="153" t="s">
        <v>606</v>
      </c>
      <c r="E35" s="156" t="s">
        <v>604</v>
      </c>
      <c r="F35" s="156"/>
      <c r="G35" s="156"/>
      <c r="H35" s="156"/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4" t="s">
        <v>141</v>
      </c>
      <c r="Q35" s="21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538</v>
      </c>
      <c r="E36" s="162" t="s">
        <v>454</v>
      </c>
      <c r="F36" s="162"/>
      <c r="G36" s="162"/>
      <c r="H36" s="162"/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349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525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>
      <c r="B47" s="192"/>
      <c r="C47" s="199" t="s">
        <v>348</v>
      </c>
      <c r="D47" s="200" t="s">
        <v>534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579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543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519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526</v>
      </c>
      <c r="D55" s="153" t="s">
        <v>517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537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MeteoGroup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521</v>
      </c>
      <c r="D58" s="187"/>
      <c r="E58" s="156" t="str">
        <f>E24</f>
        <v>Stuttgart Schnarrenberg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522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>
        <f>E25</f>
        <v>10739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30"/>
      <c r="E62" s="130"/>
      <c r="F62" s="157">
        <f>F28</f>
        <v>1</v>
      </c>
    </row>
    <row r="63" spans="2:28" ht="15" customHeight="1">
      <c r="E63" s="177">
        <f>IF(E64&gt;$F$62,0,1)</f>
        <v>1</v>
      </c>
      <c r="F63" s="177">
        <f t="shared" ref="F63:N63" si="11">IF(F64&gt;$F$62,0,1)</f>
        <v>0</v>
      </c>
      <c r="G63" s="177">
        <f t="shared" si="11"/>
        <v>0</v>
      </c>
      <c r="H63" s="177">
        <f t="shared" si="11"/>
        <v>0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527</v>
      </c>
      <c r="D65" s="185" t="s">
        <v>253</v>
      </c>
      <c r="E65" s="280">
        <f>1-SUMPRODUCT(F63:N63,F65:N65)</f>
        <v>1</v>
      </c>
      <c r="F65" s="280">
        <f>ROUND(F66/$D$66,4)</f>
        <v>0</v>
      </c>
      <c r="G65" s="280">
        <f t="shared" ref="G65:N65" si="12">ROUND(G66/$D$66,4)</f>
        <v>0</v>
      </c>
      <c r="H65" s="280">
        <f t="shared" si="12"/>
        <v>0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533</v>
      </c>
      <c r="D66" s="185">
        <f>SUMPRODUCT(E66:N66,E63:N63)</f>
        <v>1</v>
      </c>
      <c r="E66" s="288">
        <f>E32</f>
        <v>1</v>
      </c>
      <c r="F66" s="288">
        <f t="shared" ref="F66:N66" si="13">F32</f>
        <v>0</v>
      </c>
      <c r="G66" s="288">
        <f t="shared" si="13"/>
        <v>0</v>
      </c>
      <c r="H66" s="288">
        <f t="shared" si="13"/>
        <v>0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144</v>
      </c>
    </row>
    <row r="67" spans="2:15">
      <c r="B67" s="182"/>
      <c r="C67" s="186" t="s">
        <v>361</v>
      </c>
      <c r="D67" s="153" t="s">
        <v>360</v>
      </c>
      <c r="E67" s="156" t="str">
        <f>E33</f>
        <v>D</v>
      </c>
      <c r="F67" s="156">
        <f t="shared" ref="F67:N67" si="14">F33</f>
        <v>0</v>
      </c>
      <c r="G67" s="156">
        <f t="shared" si="14"/>
        <v>0</v>
      </c>
      <c r="H67" s="156">
        <f t="shared" si="14"/>
        <v>0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141</v>
      </c>
    </row>
    <row r="68" spans="2:15">
      <c r="B68" s="182"/>
      <c r="C68" s="186" t="s">
        <v>453</v>
      </c>
      <c r="D68" s="153" t="s">
        <v>452</v>
      </c>
      <c r="E68" s="159" t="str">
        <f>E34</f>
        <v>Kalendertag</v>
      </c>
      <c r="F68" s="159">
        <f t="shared" ref="F68:N68" si="15">F34</f>
        <v>0</v>
      </c>
      <c r="G68" s="159">
        <f t="shared" si="15"/>
        <v>0</v>
      </c>
      <c r="H68" s="159">
        <f t="shared" si="15"/>
        <v>0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141</v>
      </c>
    </row>
    <row r="69" spans="2:15">
      <c r="B69" s="182"/>
      <c r="C69" s="186" t="s">
        <v>605</v>
      </c>
      <c r="D69" s="153" t="s">
        <v>606</v>
      </c>
      <c r="E69" s="159" t="str">
        <f>E35</f>
        <v>CET/CEST</v>
      </c>
      <c r="F69" s="159">
        <f t="shared" ref="F69:N69" si="16">F35</f>
        <v>0</v>
      </c>
      <c r="G69" s="159">
        <f t="shared" si="16"/>
        <v>0</v>
      </c>
      <c r="H69" s="159">
        <f t="shared" si="16"/>
        <v>0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141</v>
      </c>
    </row>
    <row r="70" spans="2:15">
      <c r="B70" s="182"/>
      <c r="C70" s="191" t="s">
        <v>445</v>
      </c>
      <c r="D70" s="119" t="s">
        <v>538</v>
      </c>
      <c r="E70" s="163" t="s">
        <v>455</v>
      </c>
      <c r="F70" s="163" t="s">
        <v>455</v>
      </c>
      <c r="G70" s="163">
        <f t="shared" ref="G70:N70" si="17">G36</f>
        <v>0</v>
      </c>
      <c r="H70" s="163">
        <f t="shared" si="17"/>
        <v>0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141</v>
      </c>
    </row>
    <row r="71" spans="2:15"/>
    <row r="72" spans="2:15" ht="15.75" customHeight="1">
      <c r="C72" s="344" t="s">
        <v>580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9" priority="28">
      <formula>IF(E$20&lt;=$F$18,1,0)</formula>
    </cfRule>
  </conditionalFormatting>
  <conditionalFormatting sqref="E32:N36">
    <cfRule type="expression" dxfId="58" priority="27">
      <formula>IF(E$30&lt;=$F$28,1,0)</formula>
    </cfRule>
  </conditionalFormatting>
  <conditionalFormatting sqref="E26:F26">
    <cfRule type="expression" dxfId="57" priority="26">
      <formula>IF(E$20&lt;=$F$18,1,0)</formula>
    </cfRule>
  </conditionalFormatting>
  <conditionalFormatting sqref="E26:N26">
    <cfRule type="expression" dxfId="56" priority="25">
      <formula>IF(E$20&lt;=$F$18,1,0)</formula>
    </cfRule>
  </conditionalFormatting>
  <conditionalFormatting sqref="E56:N59">
    <cfRule type="expression" dxfId="55" priority="22">
      <formula>IF(E$54&lt;=$F$52,1,0)</formula>
    </cfRule>
  </conditionalFormatting>
  <conditionalFormatting sqref="E60:N60">
    <cfRule type="expression" dxfId="54" priority="21">
      <formula>IF(E$54&lt;=$F$52,1,0)</formula>
    </cfRule>
  </conditionalFormatting>
  <conditionalFormatting sqref="E66:N68">
    <cfRule type="expression" dxfId="53" priority="15">
      <formula>IF(E$64&lt;=$F$62,1,0)</formula>
    </cfRule>
  </conditionalFormatting>
  <conditionalFormatting sqref="E65:N68 E70:N70">
    <cfRule type="expression" dxfId="52" priority="13">
      <formula>IF(E$64&gt;$F$62,1,0)</formula>
    </cfRule>
  </conditionalFormatting>
  <conditionalFormatting sqref="E56:N60">
    <cfRule type="expression" dxfId="51" priority="12">
      <formula>IF(E$54&gt;$F$52,1,0)</formula>
    </cfRule>
  </conditionalFormatting>
  <conditionalFormatting sqref="E21:N26">
    <cfRule type="expression" dxfId="50" priority="11">
      <formula>IF(E$20&gt;$F$18,1,0)</formula>
    </cfRule>
  </conditionalFormatting>
  <conditionalFormatting sqref="E32:N36">
    <cfRule type="expression" dxfId="49" priority="10">
      <formula>IF(E$30&gt;$F$28,1,0)</formula>
    </cfRule>
  </conditionalFormatting>
  <conditionalFormatting sqref="H11 H8:H9">
    <cfRule type="expression" dxfId="48" priority="9">
      <formula>IF($F$9=1,1,0)</formula>
    </cfRule>
  </conditionalFormatting>
  <conditionalFormatting sqref="E55:N55">
    <cfRule type="expression" dxfId="47" priority="8">
      <formula>IF(E$54&gt;$F$52,1,0)</formula>
    </cfRule>
  </conditionalFormatting>
  <conditionalFormatting sqref="E31:N31">
    <cfRule type="expression" dxfId="46" priority="7">
      <formula>IF(E$30&gt;$F$28,1,0)</formula>
    </cfRule>
  </conditionalFormatting>
  <conditionalFormatting sqref="E70:N70">
    <cfRule type="expression" dxfId="45" priority="6">
      <formula>IF(E$64&lt;=$F$62,1,0)</formula>
    </cfRule>
  </conditionalFormatting>
  <conditionalFormatting sqref="H10">
    <cfRule type="expression" dxfId="44" priority="5">
      <formula>IF($F$9=1,1,0)</formula>
    </cfRule>
  </conditionalFormatting>
  <conditionalFormatting sqref="E69:N69">
    <cfRule type="expression" dxfId="43" priority="2">
      <formula>IF(E$64&lt;=$F$62,1,0)</formula>
    </cfRule>
  </conditionalFormatting>
  <conditionalFormatting sqref="E69:N69">
    <cfRule type="expression" dxfId="42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 E26:N26 E56:N60 E22:F22 I22:N22 F52 F62 G24:N24 G70:N70 E32:E33 E69:N69 I34:N34 F25:N25 I36:N36 I32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544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Netzbetreiber!$D$9</f>
        <v>Stadtwerke Fellbach  GmbH</v>
      </c>
      <c r="F4" s="130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Netzbetreiber!$D$28</f>
        <v>Stadt Fellbach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Netzbetreiber!$D$11</f>
        <v>9870036000006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Netzbetreiber!$D$6</f>
        <v>43466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523</v>
      </c>
      <c r="D9" s="130"/>
      <c r="E9" s="130"/>
      <c r="F9" s="154">
        <f>'SLP-Verfahren'!D46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585</v>
      </c>
      <c r="D10" s="130"/>
      <c r="E10" s="130"/>
      <c r="F10" s="49">
        <v>2</v>
      </c>
      <c r="G10" s="57"/>
      <c r="H10" s="172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603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584</v>
      </c>
      <c r="D13" s="342"/>
      <c r="E13" s="342"/>
      <c r="F13" s="182" t="s">
        <v>548</v>
      </c>
      <c r="G13" s="130" t="s">
        <v>546</v>
      </c>
      <c r="H13" s="262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450</v>
      </c>
      <c r="D14" s="343"/>
      <c r="E14" s="89" t="s">
        <v>451</v>
      </c>
      <c r="F14" s="263" t="s">
        <v>84</v>
      </c>
      <c r="G14" s="264" t="s">
        <v>572</v>
      </c>
      <c r="H14" s="51">
        <v>0</v>
      </c>
      <c r="I14" s="57"/>
      <c r="J14" s="130"/>
      <c r="K14" s="130"/>
      <c r="L14" s="130"/>
      <c r="M14" s="130"/>
      <c r="N14" s="130"/>
      <c r="O14" s="333" t="s">
        <v>651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2:56" ht="19.5" customHeight="1">
      <c r="B15" s="130"/>
      <c r="C15" s="343" t="s">
        <v>387</v>
      </c>
      <c r="D15" s="343"/>
      <c r="E15" s="89" t="s">
        <v>451</v>
      </c>
      <c r="F15" s="263" t="s">
        <v>70</v>
      </c>
      <c r="G15" s="264" t="s">
        <v>566</v>
      </c>
      <c r="H15" s="51">
        <v>0</v>
      </c>
      <c r="I15" s="57"/>
      <c r="J15" s="130"/>
      <c r="K15" s="130"/>
      <c r="L15" s="130"/>
      <c r="M15" s="130"/>
      <c r="N15" s="130"/>
      <c r="O15" s="161" t="s">
        <v>528</v>
      </c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549</v>
      </c>
      <c r="AJ15" s="261" t="s">
        <v>550</v>
      </c>
      <c r="AK15" s="261" t="s">
        <v>551</v>
      </c>
      <c r="AL15" s="261" t="s">
        <v>552</v>
      </c>
      <c r="AM15" s="261" t="s">
        <v>553</v>
      </c>
      <c r="AN15" s="261" t="s">
        <v>554</v>
      </c>
      <c r="AO15" s="261" t="s">
        <v>555</v>
      </c>
      <c r="AP15" s="261" t="s">
        <v>556</v>
      </c>
      <c r="AQ15" s="261" t="s">
        <v>557</v>
      </c>
      <c r="AR15" s="261" t="s">
        <v>558</v>
      </c>
      <c r="AS15" s="261" t="s">
        <v>559</v>
      </c>
      <c r="AT15" s="261" t="s">
        <v>560</v>
      </c>
      <c r="AU15" s="261" t="s">
        <v>561</v>
      </c>
      <c r="AV15" s="261" t="s">
        <v>562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518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524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519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526</v>
      </c>
      <c r="D21" s="153" t="s">
        <v>517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537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521</v>
      </c>
      <c r="D24" s="187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4" t="s">
        <v>522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363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520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527</v>
      </c>
      <c r="D31" s="185" t="s">
        <v>253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533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4" t="s">
        <v>141</v>
      </c>
      <c r="Q35" s="21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538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349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525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>
      <c r="B47" s="192"/>
      <c r="C47" s="199" t="s">
        <v>348</v>
      </c>
      <c r="D47" s="200" t="s">
        <v>534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579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519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526</v>
      </c>
      <c r="D55" s="153" t="s">
        <v>517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537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521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522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527</v>
      </c>
      <c r="D65" s="185" t="s">
        <v>253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533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144</v>
      </c>
    </row>
    <row r="67" spans="2:15">
      <c r="B67" s="182"/>
      <c r="C67" s="186" t="s">
        <v>361</v>
      </c>
      <c r="D67" s="153" t="s">
        <v>360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141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141</v>
      </c>
    </row>
    <row r="69" spans="2:15">
      <c r="B69" s="182"/>
      <c r="C69" s="186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141</v>
      </c>
    </row>
    <row r="70" spans="2:15">
      <c r="B70" s="182"/>
      <c r="C70" s="191" t="s">
        <v>445</v>
      </c>
      <c r="D70" s="119" t="s">
        <v>538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141</v>
      </c>
    </row>
    <row r="71" spans="2:15"/>
    <row r="72" spans="2:15" ht="15.75" customHeight="1">
      <c r="C72" s="344" t="s">
        <v>580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1" priority="18">
      <formula>IF(E$20&lt;=$F$18,1,0)</formula>
    </cfRule>
  </conditionalFormatting>
  <conditionalFormatting sqref="E32:N36">
    <cfRule type="expression" dxfId="40" priority="17">
      <formula>IF(E$30&lt;=$F$28,1,0)</formula>
    </cfRule>
  </conditionalFormatting>
  <conditionalFormatting sqref="E26:F26">
    <cfRule type="expression" dxfId="39" priority="16">
      <formula>IF(E$20&lt;=$F$18,1,0)</formula>
    </cfRule>
  </conditionalFormatting>
  <conditionalFormatting sqref="E26:N26">
    <cfRule type="expression" dxfId="38" priority="15">
      <formula>IF(E$20&lt;=$F$18,1,0)</formula>
    </cfRule>
  </conditionalFormatting>
  <conditionalFormatting sqref="E56:N59">
    <cfRule type="expression" dxfId="37" priority="14">
      <formula>IF(E$54&lt;=$F$52,1,0)</formula>
    </cfRule>
  </conditionalFormatting>
  <conditionalFormatting sqref="E60:N60">
    <cfRule type="expression" dxfId="36" priority="13">
      <formula>IF(E$54&lt;=$F$52,1,0)</formula>
    </cfRule>
  </conditionalFormatting>
  <conditionalFormatting sqref="E66:N68">
    <cfRule type="expression" dxfId="35" priority="12">
      <formula>IF(E$64&lt;=$F$62,1,0)</formula>
    </cfRule>
  </conditionalFormatting>
  <conditionalFormatting sqref="E65:N68 E70:N70">
    <cfRule type="expression" dxfId="34" priority="11">
      <formula>IF(E$64&gt;$F$62,1,0)</formula>
    </cfRule>
  </conditionalFormatting>
  <conditionalFormatting sqref="E56:N60">
    <cfRule type="expression" dxfId="33" priority="10">
      <formula>IF(E$54&gt;$F$52,1,0)</formula>
    </cfRule>
  </conditionalFormatting>
  <conditionalFormatting sqref="E21:N26">
    <cfRule type="expression" dxfId="32" priority="9">
      <formula>IF(E$20&gt;$F$18,1,0)</formula>
    </cfRule>
  </conditionalFormatting>
  <conditionalFormatting sqref="E32:N36">
    <cfRule type="expression" dxfId="31" priority="8">
      <formula>IF(E$30&gt;$F$28,1,0)</formula>
    </cfRule>
  </conditionalFormatting>
  <conditionalFormatting sqref="H11 H8:H9">
    <cfRule type="expression" dxfId="30" priority="7">
      <formula>IF($F$9=1,1,0)</formula>
    </cfRule>
  </conditionalFormatting>
  <conditionalFormatting sqref="E55:N55">
    <cfRule type="expression" dxfId="29" priority="6">
      <formula>IF(E$54&gt;$F$52,1,0)</formula>
    </cfRule>
  </conditionalFormatting>
  <conditionalFormatting sqref="E31:N31">
    <cfRule type="expression" dxfId="28" priority="5">
      <formula>IF(E$30&gt;$F$28,1,0)</formula>
    </cfRule>
  </conditionalFormatting>
  <conditionalFormatting sqref="E70:N70">
    <cfRule type="expression" dxfId="27" priority="4">
      <formula>IF(E$64&lt;=$F$62,1,0)</formula>
    </cfRule>
  </conditionalFormatting>
  <conditionalFormatting sqref="H10">
    <cfRule type="expression" dxfId="26" priority="3">
      <formula>IF($F$9=1,1,0)</formula>
    </cfRule>
  </conditionalFormatting>
  <conditionalFormatting sqref="E69:N69">
    <cfRule type="expression" dxfId="25" priority="2">
      <formula>IF(E$64&lt;=$F$62,1,0)</formula>
    </cfRule>
  </conditionalFormatting>
  <conditionalFormatting sqref="E69:N69">
    <cfRule type="expression" dxfId="24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Normal="100" workbookViewId="0">
      <selection activeCell="M1" sqref="M1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364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369</v>
      </c>
      <c r="D5" s="54" t="str">
        <f>Netzbetreiber!$D$9</f>
        <v>Stadtwerke Fellbach 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336</v>
      </c>
      <c r="D6" s="54" t="str">
        <f>Netzbetreiber!$D$28</f>
        <v>Stadt Fellbach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9870036000006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43466</v>
      </c>
      <c r="E8" s="130"/>
      <c r="F8" s="130"/>
      <c r="H8" s="128" t="s">
        <v>497</v>
      </c>
      <c r="J8" s="132">
        <f>COUNTA(D12:D100)</f>
        <v>13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247</v>
      </c>
      <c r="C10" s="135" t="s">
        <v>496</v>
      </c>
      <c r="D10" s="134" t="s">
        <v>146</v>
      </c>
      <c r="E10" s="273" t="s">
        <v>512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295" t="s">
        <v>648</v>
      </c>
    </row>
    <row r="11" spans="2:26" ht="15.75" thickBot="1">
      <c r="B11" s="139" t="s">
        <v>498</v>
      </c>
      <c r="C11" s="140" t="s">
        <v>511</v>
      </c>
      <c r="D11" s="294" t="s">
        <v>246</v>
      </c>
      <c r="E11" s="164" t="s">
        <v>37</v>
      </c>
      <c r="F11" s="296" t="str">
        <f>VLOOKUP($E11,'BDEW-Standard'!$B$3:$M$158,F$9,0)</f>
        <v>W14</v>
      </c>
      <c r="H11" s="167">
        <f>ROUND(VLOOKUP($E11,'BDEW-Standard'!$B$3:$M$158,H$9,0),7)</f>
        <v>3.1764404000000002</v>
      </c>
      <c r="I11" s="167">
        <f>ROUND(VLOOKUP($E11,'BDEW-Standard'!$B$3:$M$158,I$9,0),7)</f>
        <v>-37.410583199999998</v>
      </c>
      <c r="J11" s="167">
        <f>ROUND(VLOOKUP($E11,'BDEW-Standard'!$B$3:$M$158,J$9,0),7)</f>
        <v>6.1622336000000004</v>
      </c>
      <c r="K11" s="167">
        <f>ROUND(VLOOKUP($E11,'BDEW-Standard'!$B$3:$M$158,K$9,0),7)</f>
        <v>7.5937699999999997E-2</v>
      </c>
      <c r="L11" s="336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337">
        <f>($H11/(1+($I11/($Q$9-$L11))^$J11)+$K11)+MAX($M11*$Q$9+$N11,$O11*$Q$9+$P11)</f>
        <v>0.95374033288062621</v>
      </c>
      <c r="R11" s="168">
        <f>ROUND(VLOOKUP(MID($E11,4,3),'Wochentag F(WT)'!$B$7:$J$22,R$9,0),4)</f>
        <v>1</v>
      </c>
      <c r="S11" s="168">
        <f>ROUND(VLOOKUP(MID($E11,4,3),'Wochentag F(WT)'!$B$7:$J$22,S$9,0),4)</f>
        <v>1</v>
      </c>
      <c r="T11" s="168">
        <f>ROUND(VLOOKUP(MID($E11,4,3),'Wochentag F(WT)'!$B$7:$J$22,T$9,0),4)</f>
        <v>1</v>
      </c>
      <c r="U11" s="168">
        <f>ROUND(VLOOKUP(MID($E11,4,3),'Wochentag F(WT)'!$B$7:$J$22,U$9,0),4)</f>
        <v>1</v>
      </c>
      <c r="V11" s="168">
        <f>ROUND(VLOOKUP(MID($E11,4,3),'Wochentag F(WT)'!$B$7:$J$22,V$9,0),4)</f>
        <v>1</v>
      </c>
      <c r="W11" s="168">
        <f>ROUND(VLOOKUP(MID($E11,4,3),'Wochentag F(WT)'!$B$7:$J$22,W$9,0),4)</f>
        <v>1</v>
      </c>
      <c r="X11" s="169">
        <f>7-SUM(R11:W11)</f>
        <v>1</v>
      </c>
      <c r="Y11" s="292">
        <v>365.12299999999999</v>
      </c>
    </row>
    <row r="12" spans="2:26">
      <c r="B12" s="141">
        <v>1</v>
      </c>
      <c r="C12" s="142" t="str">
        <f t="shared" ref="C12:C41" si="0">$D$6</f>
        <v>Stadt Fellbach</v>
      </c>
      <c r="D12" s="62" t="s">
        <v>246</v>
      </c>
      <c r="E12" s="341" t="s">
        <v>37</v>
      </c>
      <c r="F12" s="297" t="s">
        <v>304</v>
      </c>
      <c r="H12" s="274">
        <f>ROUND(VLOOKUP($E12,'BDEW-Standard'!$B$3:$M$106,H$9,0),7)</f>
        <v>3.1764404000000002</v>
      </c>
      <c r="I12" s="274">
        <f>ROUND(VLOOKUP($E12,'BDEW-Standard'!$B$3:$M$106,I$9,0),7)</f>
        <v>-37.410583199999998</v>
      </c>
      <c r="J12" s="274">
        <f>ROUND(VLOOKUP($E12,'BDEW-Standard'!$B$3:$M$106,J$9,0),7)</f>
        <v>6.1622336000000004</v>
      </c>
      <c r="K12" s="274">
        <f>ROUND(VLOOKUP($E12,'BDEW-Standard'!$B$3:$M$106,K$9,0),7)</f>
        <v>7.5937699999999997E-2</v>
      </c>
      <c r="L12" s="338">
        <f>ROUND(VLOOKUP($E12,'BDEW-Standard'!$B$3:$M$106,L$9,0),1)</f>
        <v>40</v>
      </c>
      <c r="M12" s="274">
        <f>ROUND(VLOOKUP($E12,'BDEW-Standard'!$B$3:$M$106,M$9,0),7)</f>
        <v>0</v>
      </c>
      <c r="N12" s="274">
        <f>ROUND(VLOOKUP($E12,'BDEW-Standard'!$B$3:$M$106,N$9,0),7)</f>
        <v>0</v>
      </c>
      <c r="O12" s="274">
        <f>ROUND(VLOOKUP($E12,'BDEW-Standard'!$B$3:$M$106,O$9,0),7)</f>
        <v>0</v>
      </c>
      <c r="P12" s="274">
        <f>ROUND(VLOOKUP($E12,'BDEW-Standard'!$B$3:$M$106,P$9,0),7)</f>
        <v>0</v>
      </c>
      <c r="Q12" s="339">
        <f t="shared" ref="Q12:Q13" si="1">($H12/(1+($I12/($Q$9-$L12))^$J12)+$K12)+MAX($M12*$Q$9+$N12,$O12*$Q$9+$P12)</f>
        <v>0.95374033288062621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3"/>
      <c r="Z12" s="211"/>
    </row>
    <row r="13" spans="2:26" s="143" customFormat="1">
      <c r="B13" s="144">
        <v>2</v>
      </c>
      <c r="C13" s="145" t="str">
        <f t="shared" si="0"/>
        <v>Stadt Fellbach</v>
      </c>
      <c r="D13" s="62" t="s">
        <v>246</v>
      </c>
      <c r="E13" s="165" t="s">
        <v>45</v>
      </c>
      <c r="F13" s="297" t="s">
        <v>312</v>
      </c>
      <c r="H13" s="274">
        <f>ROUND(VLOOKUP($E13,'BDEW-Standard'!$B$3:$M$106,H$9,0),7)</f>
        <v>2.5078170000000002</v>
      </c>
      <c r="I13" s="274">
        <f>ROUND(VLOOKUP($E13,'BDEW-Standard'!$B$3:$M$106,I$9,0),7)</f>
        <v>-35.036736300000001</v>
      </c>
      <c r="J13" s="274">
        <f>ROUND(VLOOKUP($E13,'BDEW-Standard'!$B$3:$M$106,J$9,0),7)</f>
        <v>6.2430158999999996</v>
      </c>
      <c r="K13" s="274">
        <f>ROUND(VLOOKUP($E13,'BDEW-Standard'!$B$3:$M$106,K$9,0),7)</f>
        <v>0.1025195</v>
      </c>
      <c r="L13" s="338">
        <f>ROUND(VLOOKUP($E13,'BDEW-Standard'!$B$3:$M$106,L$9,0),1)</f>
        <v>40</v>
      </c>
      <c r="M13" s="274">
        <f>ROUND(VLOOKUP($E13,'BDEW-Standard'!$B$3:$M$106,M$9,0),7)</f>
        <v>0</v>
      </c>
      <c r="N13" s="274">
        <f>ROUND(VLOOKUP($E13,'BDEW-Standard'!$B$3:$M$106,N$9,0),7)</f>
        <v>0</v>
      </c>
      <c r="O13" s="274">
        <f>ROUND(VLOOKUP($E13,'BDEW-Standard'!$B$3:$M$106,O$9,0),7)</f>
        <v>0</v>
      </c>
      <c r="P13" s="274">
        <f>ROUND(VLOOKUP($E13,'BDEW-Standard'!$B$3:$M$106,P$9,0),7)</f>
        <v>0</v>
      </c>
      <c r="Q13" s="339">
        <f t="shared" si="1"/>
        <v>1.0107516326442527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" si="2">7-SUM(R13:W13)</f>
        <v>1</v>
      </c>
      <c r="Y13" s="293"/>
      <c r="Z13" s="211"/>
    </row>
    <row r="14" spans="2:26" s="143" customFormat="1">
      <c r="B14" s="144">
        <v>3</v>
      </c>
      <c r="C14" s="145" t="str">
        <f t="shared" si="0"/>
        <v>Stadt Fellbach</v>
      </c>
      <c r="D14" s="62" t="s">
        <v>246</v>
      </c>
      <c r="E14" s="165" t="s">
        <v>656</v>
      </c>
      <c r="F14" s="297" t="str">
        <f>VLOOKUP($E14,'BDEW-Standard'!$B$3:$M$94,F$9,0)</f>
        <v>MK4</v>
      </c>
      <c r="H14" s="274">
        <f>ROUND(VLOOKUP($E14,'BDEW-Standard'!$B$3:$M$94,H$9,0),7)</f>
        <v>3.1177248</v>
      </c>
      <c r="I14" s="274">
        <f>ROUND(VLOOKUP($E14,'BDEW-Standard'!$B$3:$M$94,I$9,0),7)</f>
        <v>-35.871506199999999</v>
      </c>
      <c r="J14" s="274">
        <f>ROUND(VLOOKUP($E14,'BDEW-Standard'!$B$3:$M$94,J$9,0),7)</f>
        <v>7.5186828999999999</v>
      </c>
      <c r="K14" s="274">
        <f>ROUND(VLOOKUP($E14,'BDEW-Standard'!$B$3:$M$94,K$9,0),7)</f>
        <v>3.4330100000000002E-2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 t="shared" ref="Q14:Q24" si="3">($H14/(1+($I14/($Q$9-$L14))^$J14)+$K14)+MAX($M14*$Q$9+$N14,$O14*$Q$9+$P14)</f>
        <v>0.9622064996731321</v>
      </c>
      <c r="R14" s="275">
        <f>ROUND(VLOOKUP(MID($E14,4,3),'Wochentag F(WT)'!$B$7:$J$22,R$9,0),4)</f>
        <v>1.0699000000000001</v>
      </c>
      <c r="S14" s="275">
        <f>ROUND(VLOOKUP(MID($E14,4,3),'Wochentag F(WT)'!$B$7:$J$22,S$9,0),4)</f>
        <v>1.0365</v>
      </c>
      <c r="T14" s="275">
        <f>ROUND(VLOOKUP(MID($E14,4,3),'Wochentag F(WT)'!$B$7:$J$22,T$9,0),4)</f>
        <v>0.99329999999999996</v>
      </c>
      <c r="U14" s="275">
        <f>ROUND(VLOOKUP(MID($E14,4,3),'Wochentag F(WT)'!$B$7:$J$22,U$9,0),4)</f>
        <v>0.99480000000000002</v>
      </c>
      <c r="V14" s="275">
        <f>ROUND(VLOOKUP(MID($E14,4,3),'Wochentag F(WT)'!$B$7:$J$22,V$9,0),4)</f>
        <v>1.0659000000000001</v>
      </c>
      <c r="W14" s="275">
        <f>ROUND(VLOOKUP(MID($E14,4,3),'Wochentag F(WT)'!$B$7:$J$22,W$9,0),4)</f>
        <v>0.93620000000000003</v>
      </c>
      <c r="X14" s="276">
        <f t="shared" ref="X14:X24" si="4">7-SUM(R14:W14)</f>
        <v>0.90339999999999954</v>
      </c>
      <c r="Y14" s="293"/>
      <c r="Z14" s="211"/>
    </row>
    <row r="15" spans="2:26" s="143" customFormat="1">
      <c r="B15" s="144">
        <v>4</v>
      </c>
      <c r="C15" s="145" t="str">
        <f t="shared" si="0"/>
        <v>Stadt Fellbach</v>
      </c>
      <c r="D15" s="62" t="s">
        <v>246</v>
      </c>
      <c r="E15" s="165" t="s">
        <v>657</v>
      </c>
      <c r="F15" s="297" t="str">
        <f>VLOOKUP($E15,'BDEW-Standard'!$B$3:$M$94,F$9,0)</f>
        <v>HA4</v>
      </c>
      <c r="H15" s="274">
        <f>ROUND(VLOOKUP($E15,'BDEW-Standard'!$B$3:$M$94,H$9,0),7)</f>
        <v>4.0196902000000003</v>
      </c>
      <c r="I15" s="274">
        <f>ROUND(VLOOKUP($E15,'BDEW-Standard'!$B$3:$M$94,I$9,0),7)</f>
        <v>-37.828203700000003</v>
      </c>
      <c r="J15" s="274">
        <f>ROUND(VLOOKUP($E15,'BDEW-Standard'!$B$3:$M$94,J$9,0),7)</f>
        <v>8.1593368999999996</v>
      </c>
      <c r="K15" s="274">
        <f>ROUND(VLOOKUP($E15,'BDEW-Standard'!$B$3:$M$94,K$9,0),7)</f>
        <v>4.72845E-2</v>
      </c>
      <c r="L15" s="338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9">
        <f t="shared" si="3"/>
        <v>0.86486713303260787</v>
      </c>
      <c r="R15" s="275">
        <f>ROUND(VLOOKUP(MID($E15,4,3),'Wochentag F(WT)'!$B$7:$J$22,R$9,0),4)</f>
        <v>1.0358000000000001</v>
      </c>
      <c r="S15" s="275">
        <f>ROUND(VLOOKUP(MID($E15,4,3),'Wochentag F(WT)'!$B$7:$J$22,S$9,0),4)</f>
        <v>1.0232000000000001</v>
      </c>
      <c r="T15" s="275">
        <f>ROUND(VLOOKUP(MID($E15,4,3),'Wochentag F(WT)'!$B$7:$J$22,T$9,0),4)</f>
        <v>1.0251999999999999</v>
      </c>
      <c r="U15" s="275">
        <f>ROUND(VLOOKUP(MID($E15,4,3),'Wochentag F(WT)'!$B$7:$J$22,U$9,0),4)</f>
        <v>1.0295000000000001</v>
      </c>
      <c r="V15" s="275">
        <f>ROUND(VLOOKUP(MID($E15,4,3),'Wochentag F(WT)'!$B$7:$J$22,V$9,0),4)</f>
        <v>1.0253000000000001</v>
      </c>
      <c r="W15" s="275">
        <f>ROUND(VLOOKUP(MID($E15,4,3),'Wochentag F(WT)'!$B$7:$J$22,W$9,0),4)</f>
        <v>0.96750000000000003</v>
      </c>
      <c r="X15" s="276">
        <f t="shared" si="4"/>
        <v>0.89350000000000041</v>
      </c>
      <c r="Y15" s="293"/>
      <c r="Z15" s="211"/>
    </row>
    <row r="16" spans="2:26" s="143" customFormat="1">
      <c r="B16" s="144">
        <v>5</v>
      </c>
      <c r="C16" s="145" t="str">
        <f t="shared" si="0"/>
        <v>Stadt Fellbach</v>
      </c>
      <c r="D16" s="62" t="s">
        <v>246</v>
      </c>
      <c r="E16" s="165" t="s">
        <v>655</v>
      </c>
      <c r="F16" s="297" t="str">
        <f>VLOOKUP($E16,'BDEW-Standard'!$B$3:$M$94,F$9,0)</f>
        <v>KO4</v>
      </c>
      <c r="H16" s="274">
        <f>ROUND(VLOOKUP($E16,'BDEW-Standard'!$B$3:$M$94,H$9,0),7)</f>
        <v>3.4428942999999999</v>
      </c>
      <c r="I16" s="274">
        <f>ROUND(VLOOKUP($E16,'BDEW-Standard'!$B$3:$M$94,I$9,0),7)</f>
        <v>-36.659050399999998</v>
      </c>
      <c r="J16" s="274">
        <f>ROUND(VLOOKUP($E16,'BDEW-Standard'!$B$3:$M$94,J$9,0),7)</f>
        <v>7.6083226000000002</v>
      </c>
      <c r="K16" s="274">
        <f>ROUND(VLOOKUP($E16,'BDEW-Standard'!$B$3:$M$94,K$9,0),7)</f>
        <v>7.4685000000000001E-2</v>
      </c>
      <c r="L16" s="338">
        <f>ROUND(VLOOKUP($E16,'BDEW-Standard'!$B$3:$M$94,L$9,0),1)</f>
        <v>40</v>
      </c>
      <c r="M16" s="274">
        <f>ROUND(VLOOKUP($E16,'BDEW-Standard'!$B$3:$M$94,M$9,0),7)</f>
        <v>0</v>
      </c>
      <c r="N16" s="274">
        <f>ROUND(VLOOKUP($E16,'BDEW-Standard'!$B$3:$M$94,N$9,0),7)</f>
        <v>0</v>
      </c>
      <c r="O16" s="274">
        <f>ROUND(VLOOKUP($E16,'BDEW-Standard'!$B$3:$M$94,O$9,0),7)</f>
        <v>0</v>
      </c>
      <c r="P16" s="274">
        <f>ROUND(VLOOKUP($E16,'BDEW-Standard'!$B$3:$M$94,P$9,0),7)</f>
        <v>0</v>
      </c>
      <c r="Q16" s="339">
        <f t="shared" si="3"/>
        <v>0.97768382110526542</v>
      </c>
      <c r="R16" s="275">
        <f>ROUND(VLOOKUP(MID($E16,4,3),'Wochentag F(WT)'!$B$7:$J$22,R$9,0),4)</f>
        <v>1.0354000000000001</v>
      </c>
      <c r="S16" s="275">
        <f>ROUND(VLOOKUP(MID($E16,4,3),'Wochentag F(WT)'!$B$7:$J$22,S$9,0),4)</f>
        <v>1.0523</v>
      </c>
      <c r="T16" s="275">
        <f>ROUND(VLOOKUP(MID($E16,4,3),'Wochentag F(WT)'!$B$7:$J$22,T$9,0),4)</f>
        <v>1.0448999999999999</v>
      </c>
      <c r="U16" s="275">
        <f>ROUND(VLOOKUP(MID($E16,4,3),'Wochentag F(WT)'!$B$7:$J$22,U$9,0),4)</f>
        <v>1.0494000000000001</v>
      </c>
      <c r="V16" s="275">
        <f>ROUND(VLOOKUP(MID($E16,4,3),'Wochentag F(WT)'!$B$7:$J$22,V$9,0),4)</f>
        <v>0.98850000000000005</v>
      </c>
      <c r="W16" s="275">
        <f>ROUND(VLOOKUP(MID($E16,4,3),'Wochentag F(WT)'!$B$7:$J$22,W$9,0),4)</f>
        <v>0.88600000000000001</v>
      </c>
      <c r="X16" s="276">
        <f t="shared" si="4"/>
        <v>0.94349999999999934</v>
      </c>
      <c r="Y16" s="293"/>
      <c r="Z16" s="211"/>
    </row>
    <row r="17" spans="2:26" s="143" customFormat="1">
      <c r="B17" s="144">
        <v>6</v>
      </c>
      <c r="C17" s="145" t="str">
        <f t="shared" si="0"/>
        <v>Stadt Fellbach</v>
      </c>
      <c r="D17" s="62" t="s">
        <v>246</v>
      </c>
      <c r="E17" s="165" t="s">
        <v>658</v>
      </c>
      <c r="F17" s="297" t="str">
        <f>VLOOKUP($E17,'BDEW-Standard'!$B$3:$M$94,F$9,0)</f>
        <v>BD4</v>
      </c>
      <c r="H17" s="274">
        <f>ROUND(VLOOKUP($E17,'BDEW-Standard'!$B$3:$M$94,H$9,0),7)</f>
        <v>3.75</v>
      </c>
      <c r="I17" s="274">
        <f>ROUND(VLOOKUP($E17,'BDEW-Standard'!$B$3:$M$94,I$9,0),7)</f>
        <v>-37.5</v>
      </c>
      <c r="J17" s="274">
        <f>ROUND(VLOOKUP($E17,'BDEW-Standard'!$B$3:$M$94,J$9,0),7)</f>
        <v>6.8</v>
      </c>
      <c r="K17" s="274">
        <f>ROUND(VLOOKUP($E17,'BDEW-Standard'!$B$3:$M$94,K$9,0),7)</f>
        <v>6.0911300000000002E-2</v>
      </c>
      <c r="L17" s="338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9">
        <f t="shared" si="3"/>
        <v>1.0126136468627658</v>
      </c>
      <c r="R17" s="275">
        <f>ROUND(VLOOKUP(MID($E17,4,3),'Wochentag F(WT)'!$B$7:$J$22,R$9,0),4)</f>
        <v>1.1052</v>
      </c>
      <c r="S17" s="275">
        <f>ROUND(VLOOKUP(MID($E17,4,3),'Wochentag F(WT)'!$B$7:$J$22,S$9,0),4)</f>
        <v>1.0857000000000001</v>
      </c>
      <c r="T17" s="275">
        <f>ROUND(VLOOKUP(MID($E17,4,3),'Wochentag F(WT)'!$B$7:$J$22,T$9,0),4)</f>
        <v>1.0378000000000001</v>
      </c>
      <c r="U17" s="275">
        <f>ROUND(VLOOKUP(MID($E17,4,3),'Wochentag F(WT)'!$B$7:$J$22,U$9,0),4)</f>
        <v>1.0622</v>
      </c>
      <c r="V17" s="275">
        <f>ROUND(VLOOKUP(MID($E17,4,3),'Wochentag F(WT)'!$B$7:$J$22,V$9,0),4)</f>
        <v>1.0266</v>
      </c>
      <c r="W17" s="275">
        <f>ROUND(VLOOKUP(MID($E17,4,3),'Wochentag F(WT)'!$B$7:$J$22,W$9,0),4)</f>
        <v>0.76290000000000002</v>
      </c>
      <c r="X17" s="276">
        <f t="shared" si="4"/>
        <v>0.91959999999999997</v>
      </c>
      <c r="Y17" s="293"/>
      <c r="Z17" s="211"/>
    </row>
    <row r="18" spans="2:26" s="143" customFormat="1">
      <c r="B18" s="144">
        <v>7</v>
      </c>
      <c r="C18" s="145" t="str">
        <f t="shared" si="0"/>
        <v>Stadt Fellbach</v>
      </c>
      <c r="D18" s="62" t="s">
        <v>246</v>
      </c>
      <c r="E18" s="165" t="s">
        <v>659</v>
      </c>
      <c r="F18" s="297" t="str">
        <f>VLOOKUP($E18,'BDEW-Standard'!$B$3:$M$94,F$9,0)</f>
        <v>GA4</v>
      </c>
      <c r="H18" s="274">
        <f>ROUND(VLOOKUP($E18,'BDEW-Standard'!$B$3:$M$94,H$9,0),7)</f>
        <v>2.8195655999999998</v>
      </c>
      <c r="I18" s="274">
        <f>ROUND(VLOOKUP($E18,'BDEW-Standard'!$B$3:$M$94,I$9,0),7)</f>
        <v>-36</v>
      </c>
      <c r="J18" s="274">
        <f>ROUND(VLOOKUP($E18,'BDEW-Standard'!$B$3:$M$94,J$9,0),7)</f>
        <v>7.7368518000000002</v>
      </c>
      <c r="K18" s="274">
        <f>ROUND(VLOOKUP($E18,'BDEW-Standard'!$B$3:$M$94,K$9,0),7)</f>
        <v>0.157281</v>
      </c>
      <c r="L18" s="338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9">
        <f t="shared" si="3"/>
        <v>0.96576337685759206</v>
      </c>
      <c r="R18" s="275">
        <f>ROUND(VLOOKUP(MID($E18,4,3),'Wochentag F(WT)'!$B$7:$J$22,R$9,0),4)</f>
        <v>0.93220000000000003</v>
      </c>
      <c r="S18" s="275">
        <f>ROUND(VLOOKUP(MID($E18,4,3),'Wochentag F(WT)'!$B$7:$J$22,S$9,0),4)</f>
        <v>0.98939999999999995</v>
      </c>
      <c r="T18" s="275">
        <f>ROUND(VLOOKUP(MID($E18,4,3),'Wochentag F(WT)'!$B$7:$J$22,T$9,0),4)</f>
        <v>1.0033000000000001</v>
      </c>
      <c r="U18" s="275">
        <f>ROUND(VLOOKUP(MID($E18,4,3),'Wochentag F(WT)'!$B$7:$J$22,U$9,0),4)</f>
        <v>1.0108999999999999</v>
      </c>
      <c r="V18" s="275">
        <f>ROUND(VLOOKUP(MID($E18,4,3),'Wochentag F(WT)'!$B$7:$J$22,V$9,0),4)</f>
        <v>1.018</v>
      </c>
      <c r="W18" s="275">
        <f>ROUND(VLOOKUP(MID($E18,4,3),'Wochentag F(WT)'!$B$7:$J$22,W$9,0),4)</f>
        <v>1.0356000000000001</v>
      </c>
      <c r="X18" s="276">
        <f t="shared" si="4"/>
        <v>1.0106000000000002</v>
      </c>
      <c r="Y18" s="293"/>
      <c r="Z18" s="211"/>
    </row>
    <row r="19" spans="2:26" s="143" customFormat="1">
      <c r="B19" s="144">
        <v>8</v>
      </c>
      <c r="C19" s="145" t="str">
        <f t="shared" si="0"/>
        <v>Stadt Fellbach</v>
      </c>
      <c r="D19" s="62" t="s">
        <v>246</v>
      </c>
      <c r="E19" s="165" t="s">
        <v>660</v>
      </c>
      <c r="F19" s="297" t="str">
        <f>VLOOKUP($E19,'BDEW-Standard'!$B$3:$M$94,F$9,0)</f>
        <v>BH4</v>
      </c>
      <c r="H19" s="274">
        <f>ROUND(VLOOKUP($E19,'BDEW-Standard'!$B$3:$M$94,H$9,0),7)</f>
        <v>2.4595180999999999</v>
      </c>
      <c r="I19" s="274">
        <f>ROUND(VLOOKUP($E19,'BDEW-Standard'!$B$3:$M$94,I$9,0),7)</f>
        <v>-35.253212400000002</v>
      </c>
      <c r="J19" s="274">
        <f>ROUND(VLOOKUP($E19,'BDEW-Standard'!$B$3:$M$94,J$9,0),7)</f>
        <v>6.0587001000000003</v>
      </c>
      <c r="K19" s="274">
        <f>ROUND(VLOOKUP($E19,'BDEW-Standard'!$B$3:$M$94,K$9,0),7)</f>
        <v>0.16473699999999999</v>
      </c>
      <c r="L19" s="338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9">
        <f t="shared" si="3"/>
        <v>1.043802057143173</v>
      </c>
      <c r="R19" s="275">
        <f>ROUND(VLOOKUP(MID($E19,4,3),'Wochentag F(WT)'!$B$7:$J$22,R$9,0),4)</f>
        <v>0.97670000000000001</v>
      </c>
      <c r="S19" s="275">
        <f>ROUND(VLOOKUP(MID($E19,4,3),'Wochentag F(WT)'!$B$7:$J$22,S$9,0),4)</f>
        <v>1.0388999999999999</v>
      </c>
      <c r="T19" s="275">
        <f>ROUND(VLOOKUP(MID($E19,4,3),'Wochentag F(WT)'!$B$7:$J$22,T$9,0),4)</f>
        <v>1.0027999999999999</v>
      </c>
      <c r="U19" s="275">
        <f>ROUND(VLOOKUP(MID($E19,4,3),'Wochentag F(WT)'!$B$7:$J$22,U$9,0),4)</f>
        <v>1.0162</v>
      </c>
      <c r="V19" s="275">
        <f>ROUND(VLOOKUP(MID($E19,4,3),'Wochentag F(WT)'!$B$7:$J$22,V$9,0),4)</f>
        <v>1.0024</v>
      </c>
      <c r="W19" s="275">
        <f>ROUND(VLOOKUP(MID($E19,4,3),'Wochentag F(WT)'!$B$7:$J$22,W$9,0),4)</f>
        <v>1.0043</v>
      </c>
      <c r="X19" s="276">
        <f t="shared" si="4"/>
        <v>0.95870000000000122</v>
      </c>
      <c r="Y19" s="293"/>
      <c r="Z19" s="211"/>
    </row>
    <row r="20" spans="2:26" s="143" customFormat="1">
      <c r="B20" s="144">
        <v>9</v>
      </c>
      <c r="C20" s="145" t="str">
        <f t="shared" si="0"/>
        <v>Stadt Fellbach</v>
      </c>
      <c r="D20" s="62" t="s">
        <v>246</v>
      </c>
      <c r="E20" s="165" t="s">
        <v>661</v>
      </c>
      <c r="F20" s="297" t="str">
        <f>VLOOKUP($E20,'BDEW-Standard'!$B$3:$M$94,F$9,0)</f>
        <v>WA4</v>
      </c>
      <c r="H20" s="274">
        <f>ROUND(VLOOKUP($E20,'BDEW-Standard'!$B$3:$M$94,H$9,0),7)</f>
        <v>1.0535874999999999</v>
      </c>
      <c r="I20" s="274">
        <f>ROUND(VLOOKUP($E20,'BDEW-Standard'!$B$3:$M$94,I$9,0),7)</f>
        <v>-35.299999999999997</v>
      </c>
      <c r="J20" s="274">
        <f>ROUND(VLOOKUP($E20,'BDEW-Standard'!$B$3:$M$94,J$9,0),7)</f>
        <v>4.8662747</v>
      </c>
      <c r="K20" s="274">
        <f>ROUND(VLOOKUP($E20,'BDEW-Standard'!$B$3:$M$94,K$9,0),7)</f>
        <v>0.68110420000000005</v>
      </c>
      <c r="L20" s="338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9">
        <f t="shared" si="3"/>
        <v>1.0844348950990992</v>
      </c>
      <c r="R20" s="275">
        <f>ROUND(VLOOKUP(MID($E20,4,3),'Wochentag F(WT)'!$B$7:$J$22,R$9,0),4)</f>
        <v>1.2457</v>
      </c>
      <c r="S20" s="275">
        <f>ROUND(VLOOKUP(MID($E20,4,3),'Wochentag F(WT)'!$B$7:$J$22,S$9,0),4)</f>
        <v>1.2615000000000001</v>
      </c>
      <c r="T20" s="275">
        <f>ROUND(VLOOKUP(MID($E20,4,3),'Wochentag F(WT)'!$B$7:$J$22,T$9,0),4)</f>
        <v>1.2706999999999999</v>
      </c>
      <c r="U20" s="275">
        <f>ROUND(VLOOKUP(MID($E20,4,3),'Wochentag F(WT)'!$B$7:$J$22,U$9,0),4)</f>
        <v>1.2430000000000001</v>
      </c>
      <c r="V20" s="275">
        <f>ROUND(VLOOKUP(MID($E20,4,3),'Wochentag F(WT)'!$B$7:$J$22,V$9,0),4)</f>
        <v>1.1275999999999999</v>
      </c>
      <c r="W20" s="275">
        <f>ROUND(VLOOKUP(MID($E20,4,3),'Wochentag F(WT)'!$B$7:$J$22,W$9,0),4)</f>
        <v>0.38769999999999999</v>
      </c>
      <c r="X20" s="276">
        <f t="shared" si="4"/>
        <v>0.46379999999999999</v>
      </c>
      <c r="Y20" s="293"/>
      <c r="Z20" s="211"/>
    </row>
    <row r="21" spans="2:26" s="143" customFormat="1">
      <c r="B21" s="144">
        <v>10</v>
      </c>
      <c r="C21" s="145" t="str">
        <f t="shared" si="0"/>
        <v>Stadt Fellbach</v>
      </c>
      <c r="D21" s="62" t="s">
        <v>246</v>
      </c>
      <c r="E21" s="165" t="s">
        <v>662</v>
      </c>
      <c r="F21" s="297" t="str">
        <f>VLOOKUP($E21,'BDEW-Standard'!$B$3:$M$94,F$9,0)</f>
        <v>GB4</v>
      </c>
      <c r="H21" s="274">
        <f>ROUND(VLOOKUP($E21,'BDEW-Standard'!$B$3:$M$94,H$9,0),7)</f>
        <v>3.6017736</v>
      </c>
      <c r="I21" s="274">
        <f>ROUND(VLOOKUP($E21,'BDEW-Standard'!$B$3:$M$94,I$9,0),7)</f>
        <v>-37.882536799999997</v>
      </c>
      <c r="J21" s="274">
        <f>ROUND(VLOOKUP($E21,'BDEW-Standard'!$B$3:$M$94,J$9,0),7)</f>
        <v>6.9836070000000001</v>
      </c>
      <c r="K21" s="274">
        <f>ROUND(VLOOKUP($E21,'BDEW-Standard'!$B$3:$M$94,K$9,0),7)</f>
        <v>5.4826199999999999E-2</v>
      </c>
      <c r="L21" s="338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9">
        <f t="shared" si="3"/>
        <v>0.90239375975311864</v>
      </c>
      <c r="R21" s="275">
        <f>ROUND(VLOOKUP(MID($E21,4,3),'Wochentag F(WT)'!$B$7:$J$22,R$9,0),4)</f>
        <v>0.98970000000000002</v>
      </c>
      <c r="S21" s="275">
        <f>ROUND(VLOOKUP(MID($E21,4,3),'Wochentag F(WT)'!$B$7:$J$22,S$9,0),4)</f>
        <v>0.9627</v>
      </c>
      <c r="T21" s="275">
        <f>ROUND(VLOOKUP(MID($E21,4,3),'Wochentag F(WT)'!$B$7:$J$22,T$9,0),4)</f>
        <v>1.0507</v>
      </c>
      <c r="U21" s="275">
        <f>ROUND(VLOOKUP(MID($E21,4,3),'Wochentag F(WT)'!$B$7:$J$22,U$9,0),4)</f>
        <v>1.0551999999999999</v>
      </c>
      <c r="V21" s="275">
        <f>ROUND(VLOOKUP(MID($E21,4,3),'Wochentag F(WT)'!$B$7:$J$22,V$9,0),4)</f>
        <v>1.0297000000000001</v>
      </c>
      <c r="W21" s="275">
        <f>ROUND(VLOOKUP(MID($E21,4,3),'Wochentag F(WT)'!$B$7:$J$22,W$9,0),4)</f>
        <v>0.97670000000000001</v>
      </c>
      <c r="X21" s="276">
        <f t="shared" si="4"/>
        <v>0.9352999999999998</v>
      </c>
      <c r="Y21" s="293"/>
      <c r="Z21" s="211"/>
    </row>
    <row r="22" spans="2:26" s="143" customFormat="1">
      <c r="B22" s="144">
        <v>11</v>
      </c>
      <c r="C22" s="145" t="str">
        <f t="shared" si="0"/>
        <v>Stadt Fellbach</v>
      </c>
      <c r="D22" s="62" t="s">
        <v>246</v>
      </c>
      <c r="E22" s="165" t="s">
        <v>663</v>
      </c>
      <c r="F22" s="297" t="str">
        <f>VLOOKUP($E22,'BDEW-Standard'!$B$3:$M$94,F$9,0)</f>
        <v>PD4</v>
      </c>
      <c r="H22" s="274">
        <f>ROUND(VLOOKUP($E22,'BDEW-Standard'!$B$3:$M$94,H$9,0),7)</f>
        <v>3.85</v>
      </c>
      <c r="I22" s="274">
        <f>ROUND(VLOOKUP($E22,'BDEW-Standard'!$B$3:$M$94,I$9,0),7)</f>
        <v>-37</v>
      </c>
      <c r="J22" s="274">
        <f>ROUND(VLOOKUP($E22,'BDEW-Standard'!$B$3:$M$94,J$9,0),7)</f>
        <v>10.2405021</v>
      </c>
      <c r="K22" s="274">
        <f>ROUND(VLOOKUP($E22,'BDEW-Standard'!$B$3:$M$94,K$9,0),7)</f>
        <v>4.6924300000000002E-2</v>
      </c>
      <c r="L22" s="338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9">
        <f t="shared" si="3"/>
        <v>0.75691065279879233</v>
      </c>
      <c r="R22" s="275">
        <f>ROUND(VLOOKUP(MID($E22,4,3),'Wochentag F(WT)'!$B$7:$J$22,R$9,0),4)</f>
        <v>1.0214000000000001</v>
      </c>
      <c r="S22" s="275">
        <f>ROUND(VLOOKUP(MID($E22,4,3),'Wochentag F(WT)'!$B$7:$J$22,S$9,0),4)</f>
        <v>1.0866</v>
      </c>
      <c r="T22" s="275">
        <f>ROUND(VLOOKUP(MID($E22,4,3),'Wochentag F(WT)'!$B$7:$J$22,T$9,0),4)</f>
        <v>1.0720000000000001</v>
      </c>
      <c r="U22" s="275">
        <f>ROUND(VLOOKUP(MID($E22,4,3),'Wochentag F(WT)'!$B$7:$J$22,U$9,0),4)</f>
        <v>1.0557000000000001</v>
      </c>
      <c r="V22" s="275">
        <f>ROUND(VLOOKUP(MID($E22,4,3),'Wochentag F(WT)'!$B$7:$J$22,V$9,0),4)</f>
        <v>1.0117</v>
      </c>
      <c r="W22" s="275">
        <f>ROUND(VLOOKUP(MID($E22,4,3),'Wochentag F(WT)'!$B$7:$J$22,W$9,0),4)</f>
        <v>0.90010000000000001</v>
      </c>
      <c r="X22" s="276">
        <f t="shared" si="4"/>
        <v>0.85249999999999915</v>
      </c>
      <c r="Y22" s="293"/>
      <c r="Z22" s="211"/>
    </row>
    <row r="23" spans="2:26" s="143" customFormat="1">
      <c r="B23" s="144">
        <v>12</v>
      </c>
      <c r="C23" s="145" t="str">
        <f t="shared" si="0"/>
        <v>Stadt Fellbach</v>
      </c>
      <c r="D23" s="62" t="s">
        <v>246</v>
      </c>
      <c r="E23" s="165" t="s">
        <v>664</v>
      </c>
      <c r="F23" s="297" t="str">
        <f>VLOOKUP($E23,'BDEW-Standard'!$B$3:$M$94,F$9,0)</f>
        <v>BA4</v>
      </c>
      <c r="H23" s="274">
        <f>ROUND(VLOOKUP($E23,'BDEW-Standard'!$B$3:$M$94,H$9,0),7)</f>
        <v>0.93158890000000005</v>
      </c>
      <c r="I23" s="274">
        <f>ROUND(VLOOKUP($E23,'BDEW-Standard'!$B$3:$M$94,I$9,0),7)</f>
        <v>-33.35</v>
      </c>
      <c r="J23" s="274">
        <f>ROUND(VLOOKUP($E23,'BDEW-Standard'!$B$3:$M$94,J$9,0),7)</f>
        <v>5.7212303000000002</v>
      </c>
      <c r="K23" s="274">
        <f>ROUND(VLOOKUP($E23,'BDEW-Standard'!$B$3:$M$94,K$9,0),7)</f>
        <v>0.66564939999999995</v>
      </c>
      <c r="L23" s="338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9">
        <f t="shared" si="3"/>
        <v>1.0766391850538448</v>
      </c>
      <c r="R23" s="275">
        <f>ROUND(VLOOKUP(MID($E23,4,3),'Wochentag F(WT)'!$B$7:$J$22,R$9,0),4)</f>
        <v>1.0848</v>
      </c>
      <c r="S23" s="275">
        <f>ROUND(VLOOKUP(MID($E23,4,3),'Wochentag F(WT)'!$B$7:$J$22,S$9,0),4)</f>
        <v>1.1211</v>
      </c>
      <c r="T23" s="275">
        <f>ROUND(VLOOKUP(MID($E23,4,3),'Wochentag F(WT)'!$B$7:$J$22,T$9,0),4)</f>
        <v>1.0769</v>
      </c>
      <c r="U23" s="275">
        <f>ROUND(VLOOKUP(MID($E23,4,3),'Wochentag F(WT)'!$B$7:$J$22,U$9,0),4)</f>
        <v>1.1353</v>
      </c>
      <c r="V23" s="275">
        <f>ROUND(VLOOKUP(MID($E23,4,3),'Wochentag F(WT)'!$B$7:$J$22,V$9,0),4)</f>
        <v>1.1402000000000001</v>
      </c>
      <c r="W23" s="275">
        <f>ROUND(VLOOKUP(MID($E23,4,3),'Wochentag F(WT)'!$B$7:$J$22,W$9,0),4)</f>
        <v>0.48520000000000002</v>
      </c>
      <c r="X23" s="276">
        <f t="shared" si="4"/>
        <v>0.95650000000000013</v>
      </c>
      <c r="Y23" s="293"/>
      <c r="Z23" s="211"/>
    </row>
    <row r="24" spans="2:26" s="143" customFormat="1">
      <c r="B24" s="144">
        <v>13</v>
      </c>
      <c r="C24" s="145" t="str">
        <f t="shared" si="0"/>
        <v>Stadt Fellbach</v>
      </c>
      <c r="D24" s="62" t="s">
        <v>246</v>
      </c>
      <c r="E24" s="165" t="s">
        <v>665</v>
      </c>
      <c r="F24" s="297" t="str">
        <f>VLOOKUP($E24,'BDEW-Standard'!$B$3:$M$94,F$9,0)</f>
        <v>MF4</v>
      </c>
      <c r="H24" s="274">
        <f>ROUND(VLOOKUP($E24,'BDEW-Standard'!$B$3:$M$94,H$9,0),7)</f>
        <v>2.5187775000000001</v>
      </c>
      <c r="I24" s="274">
        <f>ROUND(VLOOKUP($E24,'BDEW-Standard'!$B$3:$M$94,I$9,0),7)</f>
        <v>-35.033375399999997</v>
      </c>
      <c r="J24" s="274">
        <f>ROUND(VLOOKUP($E24,'BDEW-Standard'!$B$3:$M$94,J$9,0),7)</f>
        <v>6.2240634000000004</v>
      </c>
      <c r="K24" s="274">
        <f>ROUND(VLOOKUP($E24,'BDEW-Standard'!$B$3:$M$94,K$9,0),7)</f>
        <v>0.10107820000000001</v>
      </c>
      <c r="L24" s="338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9">
        <f t="shared" si="3"/>
        <v>1.0146273685996503</v>
      </c>
      <c r="R24" s="275">
        <f>ROUND(VLOOKUP(MID($E24,4,3),'Wochentag F(WT)'!$B$7:$J$22,R$9,0),4)</f>
        <v>1.0354000000000001</v>
      </c>
      <c r="S24" s="275">
        <f>ROUND(VLOOKUP(MID($E24,4,3),'Wochentag F(WT)'!$B$7:$J$22,S$9,0),4)</f>
        <v>1.0523</v>
      </c>
      <c r="T24" s="275">
        <f>ROUND(VLOOKUP(MID($E24,4,3),'Wochentag F(WT)'!$B$7:$J$22,T$9,0),4)</f>
        <v>1.0448999999999999</v>
      </c>
      <c r="U24" s="275">
        <f>ROUND(VLOOKUP(MID($E24,4,3),'Wochentag F(WT)'!$B$7:$J$22,U$9,0),4)</f>
        <v>1.0494000000000001</v>
      </c>
      <c r="V24" s="275">
        <f>ROUND(VLOOKUP(MID($E24,4,3),'Wochentag F(WT)'!$B$7:$J$22,V$9,0),4)</f>
        <v>0.98850000000000005</v>
      </c>
      <c r="W24" s="275">
        <f>ROUND(VLOOKUP(MID($E24,4,3),'Wochentag F(WT)'!$B$7:$J$22,W$9,0),4)</f>
        <v>0.88600000000000001</v>
      </c>
      <c r="X24" s="276">
        <f t="shared" si="4"/>
        <v>0.94349999999999934</v>
      </c>
      <c r="Y24" s="293"/>
      <c r="Z24" s="211"/>
    </row>
    <row r="25" spans="2:26" s="143" customFormat="1">
      <c r="B25" s="144">
        <v>14</v>
      </c>
      <c r="C25" s="145" t="str">
        <f t="shared" si="0"/>
        <v>Stadt Fellbach</v>
      </c>
      <c r="D25" s="62"/>
      <c r="E25" s="166"/>
      <c r="F25" s="297"/>
      <c r="H25" s="277"/>
      <c r="I25" s="277"/>
      <c r="J25" s="277"/>
      <c r="K25" s="277"/>
      <c r="L25" s="338"/>
      <c r="M25" s="277"/>
      <c r="N25" s="277"/>
      <c r="O25" s="277"/>
      <c r="P25" s="277"/>
      <c r="Q25" s="340"/>
      <c r="R25" s="278"/>
      <c r="S25" s="278"/>
      <c r="T25" s="278"/>
      <c r="U25" s="278"/>
      <c r="V25" s="278"/>
      <c r="W25" s="278"/>
      <c r="X25" s="279"/>
      <c r="Y25" s="293"/>
      <c r="Z25" s="211"/>
    </row>
    <row r="26" spans="2:26" s="143" customFormat="1">
      <c r="B26" s="144">
        <v>15</v>
      </c>
      <c r="C26" s="145" t="str">
        <f t="shared" si="0"/>
        <v>Stadt Fellbach</v>
      </c>
      <c r="D26" s="62"/>
      <c r="E26" s="166"/>
      <c r="F26" s="297"/>
      <c r="H26" s="277"/>
      <c r="I26" s="277"/>
      <c r="J26" s="277"/>
      <c r="K26" s="277"/>
      <c r="L26" s="338"/>
      <c r="M26" s="277"/>
      <c r="N26" s="277"/>
      <c r="O26" s="277"/>
      <c r="P26" s="277"/>
      <c r="Q26" s="340"/>
      <c r="R26" s="278"/>
      <c r="S26" s="278"/>
      <c r="T26" s="278"/>
      <c r="U26" s="278"/>
      <c r="V26" s="278"/>
      <c r="W26" s="278"/>
      <c r="X26" s="279"/>
      <c r="Y26" s="293"/>
      <c r="Z26" s="211"/>
    </row>
    <row r="27" spans="2:26" s="143" customFormat="1">
      <c r="B27" s="144">
        <v>16</v>
      </c>
      <c r="C27" s="145" t="str">
        <f t="shared" si="0"/>
        <v>Stadt Fellbach</v>
      </c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 t="str">
        <f t="shared" si="0"/>
        <v>Stadt Fellbach</v>
      </c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 t="str">
        <f t="shared" si="0"/>
        <v>Stadt Fellbach</v>
      </c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 t="str">
        <f t="shared" si="0"/>
        <v>Stadt Fellbach</v>
      </c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 t="str">
        <f t="shared" si="0"/>
        <v>Stadt Fellbach</v>
      </c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 t="str">
        <f t="shared" si="0"/>
        <v>Stadt Fellbach</v>
      </c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 t="str">
        <f t="shared" si="0"/>
        <v>Stadt Fellbach</v>
      </c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 t="str">
        <f t="shared" si="0"/>
        <v>Stadt Fellbach</v>
      </c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 t="str">
        <f t="shared" si="0"/>
        <v>Stadt Fellbach</v>
      </c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 t="str">
        <f t="shared" si="0"/>
        <v>Stadt Fellbach</v>
      </c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 t="str">
        <f t="shared" si="0"/>
        <v>Stadt Fellbach</v>
      </c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 t="str">
        <f t="shared" si="0"/>
        <v>Stadt Fellbach</v>
      </c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 t="str">
        <f t="shared" si="0"/>
        <v>Stadt Fellbach</v>
      </c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 t="str">
        <f t="shared" si="0"/>
        <v>Stadt Fellbach</v>
      </c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 t="str">
        <f t="shared" si="0"/>
        <v>Stadt Fellbach</v>
      </c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H11:K13 M11:P13 R11:Y13 Y14:Y24 F27:F41 H27:Y41 F11:F22 H14:X22">
    <cfRule type="expression" dxfId="23" priority="23">
      <formula>ISERROR(F11)</formula>
    </cfRule>
  </conditionalFormatting>
  <conditionalFormatting sqref="L11:L13">
    <cfRule type="expression" dxfId="22" priority="14">
      <formula>ISERROR(L11)</formula>
    </cfRule>
  </conditionalFormatting>
  <conditionalFormatting sqref="Q11:Q13">
    <cfRule type="expression" dxfId="21" priority="13">
      <formula>ISERROR(Q11)</formula>
    </cfRule>
  </conditionalFormatting>
  <conditionalFormatting sqref="E23:E24 Y12:Y24 E27:F41 E12:F22 Y27:Y41">
    <cfRule type="duplicateValues" dxfId="20" priority="58"/>
  </conditionalFormatting>
  <conditionalFormatting sqref="H23:X23 F23">
    <cfRule type="expression" dxfId="19" priority="11">
      <formula>ISERROR(F23)</formula>
    </cfRule>
  </conditionalFormatting>
  <conditionalFormatting sqref="F23">
    <cfRule type="duplicateValues" dxfId="18" priority="12"/>
  </conditionalFormatting>
  <conditionalFormatting sqref="H24:X24 F24">
    <cfRule type="expression" dxfId="17" priority="9">
      <formula>ISERROR(F24)</formula>
    </cfRule>
  </conditionalFormatting>
  <conditionalFormatting sqref="F24">
    <cfRule type="duplicateValues" dxfId="16" priority="10"/>
  </conditionalFormatting>
  <conditionalFormatting sqref="F25 H25:Y25">
    <cfRule type="expression" dxfId="15" priority="6">
      <formula>ISERROR(F25)</formula>
    </cfRule>
  </conditionalFormatting>
  <conditionalFormatting sqref="E25:F25 Y25">
    <cfRule type="duplicateValues" dxfId="14" priority="8"/>
  </conditionalFormatting>
  <conditionalFormatting sqref="F26 H26:Y26">
    <cfRule type="expression" dxfId="13" priority="2">
      <formula>ISERROR(F26)</formula>
    </cfRule>
  </conditionalFormatting>
  <conditionalFormatting sqref="E26:F26 Y26">
    <cfRule type="duplicateValues" dxfId="12" priority="4"/>
  </conditionalFormatting>
  <dataValidations count="2">
    <dataValidation type="list" errorStyle="warning" allowBlank="1" showInputMessage="1" showErrorMessage="1" errorTitle="Profil-Art" error="Bitte Profilwahl gemäß Auswahlfeld" sqref="D27:D41 D12:D20 D21:D24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24 C34:C41 R13:X13 C27:C33 Q12:X1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D27:D41 D11:D24</xm:sqref>
        </x14:conditionalFormatting>
        <x14:conditionalFormatting xmlns:xm="http://schemas.microsoft.com/office/excel/2006/main">
          <x14:cfRule type="expression" priority="15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Y11:Y24 Y27:Y41</xm:sqref>
        </x14:conditionalFormatting>
        <x14:conditionalFormatting xmlns:xm="http://schemas.microsoft.com/office/excel/2006/main">
          <x14:cfRule type="expression" priority="7" id="{457DF8B3-B616-4D30-B907-A511F120BDD5}">
            <xm:f>D25&lt;&gt;IF(ISERROR(VLOOKUP($E25,'BDEW-Standard'!$B$3:$M$158,1,0)),"Ind.-Koef.","BDEW")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5" id="{BE57565E-F421-41A6-BC8F-8FDE98705C80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Y25</xm:sqref>
        </x14:conditionalFormatting>
        <x14:conditionalFormatting xmlns:xm="http://schemas.microsoft.com/office/excel/2006/main">
          <x14:cfRule type="expression" priority="3" id="{4C007003-354B-4CA4-93B5-C4E3FF366135}">
            <xm:f>D26&lt;&gt;IF(ISERROR(VLOOKUP($E26,'BDEW-Standard'!$B$3:$M$158,1,0)),"Ind.-Koef.","BDEW")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" id="{CC570A65-5252-4CA9-B30D-FB53E1475D08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E27:E41 E21:E24 E11 E14:E20</xm:sqref>
        </x14:dataValidation>
        <x14:dataValidation type="list" allowBlank="1" showInputMessage="1" showErrorMessage="1">
          <x14:formula1>
            <xm:f>'BDEW-Standard'!$B$3:$B$94</xm:f>
          </x14:formula1>
          <xm:sqref>E21:E24 E14:E20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'BDEW-Standard'!$B$3:$B$106</xm:f>
          </x14:formula1>
          <xm:sqref>E12:E13</xm:sqref>
        </x14:dataValidation>
        <x14:dataValidation type="list" allowBlank="1" showInputMessage="1" showErrorMessage="1">
          <x14:formula1>
            <xm:f>'BDEW-Standard'!$B$3:$B$106</xm:f>
          </x14:formula1>
          <xm:sqref>E12 E13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J6" sqref="J6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Stadtwerke Fellbach 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446</v>
      </c>
      <c r="C5" s="64" t="str">
        <f>Netzbetreiber!$D$28</f>
        <v>Stadt Fellbach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444</v>
      </c>
      <c r="C6" s="63" t="str">
        <f>Netzbetreiber!$D$11</f>
        <v>9870036000006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43466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460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428</v>
      </c>
    </row>
    <row r="10" spans="2:30" ht="72" customHeight="1" thickBot="1">
      <c r="B10" s="350" t="s">
        <v>583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4">
        <f>MIN(SUMPRODUCT($M$11:$AD$11,M12:AD12),1)</f>
        <v>1</v>
      </c>
      <c r="F12" s="301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399</v>
      </c>
      <c r="C13" s="117"/>
      <c r="D13" s="111">
        <v>5</v>
      </c>
      <c r="E13" s="305">
        <f t="shared" ref="E13:E33" si="0">MIN(SUMPRODUCT($M$11:$AD$11,M13:AD13),1)</f>
        <v>1</v>
      </c>
      <c r="F13" s="302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400</v>
      </c>
      <c r="C14" s="117"/>
      <c r="D14" s="111">
        <v>6</v>
      </c>
      <c r="E14" s="305">
        <f t="shared" si="0"/>
        <v>0</v>
      </c>
      <c r="F14" s="302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402</v>
      </c>
      <c r="C15" s="117"/>
      <c r="D15" s="111">
        <v>7</v>
      </c>
      <c r="E15" s="305">
        <f t="shared" si="0"/>
        <v>0</v>
      </c>
      <c r="F15" s="302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414</v>
      </c>
      <c r="C16" s="117"/>
      <c r="D16" s="111">
        <v>8</v>
      </c>
      <c r="E16" s="305">
        <f t="shared" si="0"/>
        <v>1</v>
      </c>
      <c r="F16" s="302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415</v>
      </c>
      <c r="C17" s="117"/>
      <c r="D17" s="111">
        <v>9</v>
      </c>
      <c r="E17" s="305">
        <f t="shared" si="0"/>
        <v>1</v>
      </c>
      <c r="F17" s="302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416</v>
      </c>
      <c r="C18" s="117"/>
      <c r="D18" s="111">
        <v>10</v>
      </c>
      <c r="E18" s="305">
        <f t="shared" si="0"/>
        <v>1</v>
      </c>
      <c r="F18" s="302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403</v>
      </c>
      <c r="C19" s="117"/>
      <c r="D19" s="111">
        <v>11</v>
      </c>
      <c r="E19" s="305">
        <f t="shared" si="0"/>
        <v>1</v>
      </c>
      <c r="F19" s="302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649</v>
      </c>
      <c r="C20" s="117"/>
      <c r="D20" s="111">
        <v>12</v>
      </c>
      <c r="E20" s="305">
        <f t="shared" si="0"/>
        <v>1</v>
      </c>
      <c r="F20" s="302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417</v>
      </c>
      <c r="C21" s="117"/>
      <c r="D21" s="111">
        <v>13</v>
      </c>
      <c r="E21" s="305">
        <f t="shared" si="0"/>
        <v>1</v>
      </c>
      <c r="F21" s="302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418</v>
      </c>
      <c r="C22" s="117"/>
      <c r="D22" s="111">
        <v>14</v>
      </c>
      <c r="E22" s="305">
        <f t="shared" si="0"/>
        <v>1</v>
      </c>
      <c r="F22" s="302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419</v>
      </c>
      <c r="C23" s="117"/>
      <c r="D23" s="111">
        <v>15</v>
      </c>
      <c r="E23" s="305">
        <f t="shared" si="0"/>
        <v>1</v>
      </c>
      <c r="F23" s="302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404</v>
      </c>
      <c r="C24" s="117"/>
      <c r="D24" s="111">
        <v>16</v>
      </c>
      <c r="E24" s="305">
        <f t="shared" si="0"/>
        <v>0</v>
      </c>
      <c r="F24" s="302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405</v>
      </c>
      <c r="C25" s="117"/>
      <c r="D25" s="111">
        <v>17</v>
      </c>
      <c r="E25" s="305">
        <f t="shared" si="0"/>
        <v>0</v>
      </c>
      <c r="F25" s="302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406</v>
      </c>
      <c r="C26" s="117"/>
      <c r="D26" s="111">
        <v>18</v>
      </c>
      <c r="E26" s="305">
        <f t="shared" si="0"/>
        <v>1</v>
      </c>
      <c r="F26" s="302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407</v>
      </c>
      <c r="C27" s="117"/>
      <c r="D27" s="111">
        <v>19</v>
      </c>
      <c r="E27" s="305">
        <f t="shared" si="0"/>
        <v>0</v>
      </c>
      <c r="F27" s="302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408</v>
      </c>
      <c r="C28" s="117"/>
      <c r="D28" s="111">
        <v>20</v>
      </c>
      <c r="E28" s="305">
        <f t="shared" si="0"/>
        <v>1</v>
      </c>
      <c r="F28" s="302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409</v>
      </c>
      <c r="C29" s="117"/>
      <c r="D29" s="111">
        <v>21</v>
      </c>
      <c r="E29" s="305">
        <f t="shared" si="0"/>
        <v>0</v>
      </c>
      <c r="F29" s="302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410</v>
      </c>
      <c r="C30" s="117"/>
      <c r="D30" s="111">
        <v>22</v>
      </c>
      <c r="E30" s="305">
        <f t="shared" si="0"/>
        <v>0</v>
      </c>
      <c r="F30" s="302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411</v>
      </c>
      <c r="C31" s="117"/>
      <c r="D31" s="111">
        <v>23</v>
      </c>
      <c r="E31" s="305">
        <f t="shared" si="0"/>
        <v>1</v>
      </c>
      <c r="F31" s="302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412</v>
      </c>
      <c r="C32" s="117"/>
      <c r="D32" s="111">
        <v>24</v>
      </c>
      <c r="E32" s="305">
        <f t="shared" si="0"/>
        <v>1</v>
      </c>
      <c r="F32" s="302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413</v>
      </c>
      <c r="C33" s="123"/>
      <c r="D33" s="124">
        <v>25</v>
      </c>
      <c r="E33" s="306">
        <f t="shared" si="0"/>
        <v>0</v>
      </c>
      <c r="F33" s="303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54" zoomScale="80" zoomScaleNormal="80" workbookViewId="0">
      <selection activeCell="B98" sqref="B98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346</v>
      </c>
      <c r="B1" s="213">
        <v>42173</v>
      </c>
      <c r="D1" s="131" t="s">
        <v>456</v>
      </c>
      <c r="F1" s="214" t="s">
        <v>545</v>
      </c>
      <c r="N1" s="215"/>
    </row>
    <row r="2" spans="1:14" ht="25.5">
      <c r="A2" s="216" t="s">
        <v>270</v>
      </c>
      <c r="B2" s="217" t="s">
        <v>145</v>
      </c>
      <c r="C2" s="218" t="s">
        <v>147</v>
      </c>
      <c r="D2" s="219" t="s">
        <v>148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69</v>
      </c>
      <c r="J2" s="220" t="s">
        <v>149</v>
      </c>
      <c r="K2" s="220" t="s">
        <v>150</v>
      </c>
      <c r="L2" s="220" t="s">
        <v>151</v>
      </c>
      <c r="M2" s="222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152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153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154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155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156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157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158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159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160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161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652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162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163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164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165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166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167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168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169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170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171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172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173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174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175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176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177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178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179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180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181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182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183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184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185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186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187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188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189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190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191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192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193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194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195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196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197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198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199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200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201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202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203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204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205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206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207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208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209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210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211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212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213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214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215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216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217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218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219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220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221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222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223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224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225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226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227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228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229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230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231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232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233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234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235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236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237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238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239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240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241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242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244</v>
      </c>
      <c r="B95" s="128" t="s">
        <v>49</v>
      </c>
      <c r="C95" s="128" t="s">
        <v>316</v>
      </c>
      <c r="D95" s="232" t="s">
        <v>271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244</v>
      </c>
      <c r="B96" s="128" t="s">
        <v>54</v>
      </c>
      <c r="C96" s="128" t="s">
        <v>321</v>
      </c>
      <c r="D96" s="232" t="s">
        <v>271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244</v>
      </c>
      <c r="B97" s="128" t="s">
        <v>59</v>
      </c>
      <c r="C97" s="128" t="s">
        <v>326</v>
      </c>
      <c r="D97" s="232" t="s">
        <v>271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244</v>
      </c>
      <c r="B98" s="128" t="s">
        <v>64</v>
      </c>
      <c r="C98" s="128" t="s">
        <v>331</v>
      </c>
      <c r="D98" s="232" t="s">
        <v>271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244</v>
      </c>
      <c r="B99" s="128" t="s">
        <v>17</v>
      </c>
      <c r="C99" s="128" t="s">
        <v>284</v>
      </c>
      <c r="D99" s="232" t="s">
        <v>271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244</v>
      </c>
      <c r="B100" s="128" t="s">
        <v>21</v>
      </c>
      <c r="C100" s="128" t="s">
        <v>288</v>
      </c>
      <c r="D100" s="232" t="s">
        <v>271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244</v>
      </c>
      <c r="B101" s="128" t="s">
        <v>25</v>
      </c>
      <c r="C101" s="128" t="s">
        <v>292</v>
      </c>
      <c r="D101" s="232" t="s">
        <v>271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244</v>
      </c>
      <c r="B102" s="128" t="s">
        <v>29</v>
      </c>
      <c r="C102" s="128" t="s">
        <v>296</v>
      </c>
      <c r="D102" s="232" t="s">
        <v>271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244</v>
      </c>
      <c r="B103" s="128" t="s">
        <v>33</v>
      </c>
      <c r="C103" s="128" t="s">
        <v>300</v>
      </c>
      <c r="D103" s="232" t="s">
        <v>271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244</v>
      </c>
      <c r="B104" s="128" t="s">
        <v>37</v>
      </c>
      <c r="C104" s="128" t="s">
        <v>304</v>
      </c>
      <c r="D104" s="232" t="s">
        <v>271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244</v>
      </c>
      <c r="B105" s="128" t="s">
        <v>41</v>
      </c>
      <c r="C105" s="128" t="s">
        <v>308</v>
      </c>
      <c r="D105" s="232" t="s">
        <v>271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244</v>
      </c>
      <c r="B106" s="128" t="s">
        <v>45</v>
      </c>
      <c r="C106" s="128" t="s">
        <v>312</v>
      </c>
      <c r="D106" s="232" t="s">
        <v>271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244</v>
      </c>
      <c r="B107" s="128" t="s">
        <v>50</v>
      </c>
      <c r="C107" s="128" t="s">
        <v>317</v>
      </c>
      <c r="D107" s="232" t="s">
        <v>271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244</v>
      </c>
      <c r="B108" s="128" t="s">
        <v>55</v>
      </c>
      <c r="C108" s="128" t="s">
        <v>322</v>
      </c>
      <c r="D108" s="232" t="s">
        <v>271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244</v>
      </c>
      <c r="B109" s="128" t="s">
        <v>60</v>
      </c>
      <c r="C109" s="128" t="s">
        <v>327</v>
      </c>
      <c r="D109" s="232" t="s">
        <v>271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244</v>
      </c>
      <c r="B110" s="128" t="s">
        <v>65</v>
      </c>
      <c r="C110" s="128" t="s">
        <v>332</v>
      </c>
      <c r="D110" s="232" t="s">
        <v>271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244</v>
      </c>
      <c r="B111" s="128" t="s">
        <v>5</v>
      </c>
      <c r="C111" s="128" t="s">
        <v>272</v>
      </c>
      <c r="D111" s="232" t="s">
        <v>271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244</v>
      </c>
      <c r="B112" s="128" t="s">
        <v>6</v>
      </c>
      <c r="C112" s="128" t="s">
        <v>273</v>
      </c>
      <c r="D112" s="232" t="s">
        <v>271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244</v>
      </c>
      <c r="B113" s="128" t="s">
        <v>7</v>
      </c>
      <c r="C113" s="128" t="s">
        <v>274</v>
      </c>
      <c r="D113" s="232" t="s">
        <v>271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244</v>
      </c>
      <c r="B114" s="128" t="s">
        <v>8</v>
      </c>
      <c r="C114" s="128" t="s">
        <v>275</v>
      </c>
      <c r="D114" s="232" t="s">
        <v>271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244</v>
      </c>
      <c r="B115" s="128" t="s">
        <v>18</v>
      </c>
      <c r="C115" s="128" t="s">
        <v>285</v>
      </c>
      <c r="D115" s="232" t="s">
        <v>271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244</v>
      </c>
      <c r="B116" s="128" t="s">
        <v>22</v>
      </c>
      <c r="C116" s="128" t="s">
        <v>289</v>
      </c>
      <c r="D116" s="232" t="s">
        <v>271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244</v>
      </c>
      <c r="B117" s="128" t="s">
        <v>26</v>
      </c>
      <c r="C117" s="128" t="s">
        <v>293</v>
      </c>
      <c r="D117" s="232" t="s">
        <v>271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244</v>
      </c>
      <c r="B118" s="128" t="s">
        <v>30</v>
      </c>
      <c r="C118" s="128" t="s">
        <v>297</v>
      </c>
      <c r="D118" s="232" t="s">
        <v>271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244</v>
      </c>
      <c r="B119" s="128" t="s">
        <v>9</v>
      </c>
      <c r="C119" s="128" t="s">
        <v>276</v>
      </c>
      <c r="D119" s="232" t="s">
        <v>271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244</v>
      </c>
      <c r="B120" s="128" t="s">
        <v>11</v>
      </c>
      <c r="C120" s="128" t="s">
        <v>278</v>
      </c>
      <c r="D120" s="232" t="s">
        <v>271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244</v>
      </c>
      <c r="B121" s="128" t="s">
        <v>13</v>
      </c>
      <c r="C121" s="128" t="s">
        <v>280</v>
      </c>
      <c r="D121" s="232" t="s">
        <v>271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244</v>
      </c>
      <c r="B122" s="128" t="s">
        <v>15</v>
      </c>
      <c r="C122" s="128" t="s">
        <v>282</v>
      </c>
      <c r="D122" s="232" t="s">
        <v>271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244</v>
      </c>
      <c r="B123" s="128" t="s">
        <v>51</v>
      </c>
      <c r="C123" s="128" t="s">
        <v>318</v>
      </c>
      <c r="D123" s="232" t="s">
        <v>271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244</v>
      </c>
      <c r="B124" s="128" t="s">
        <v>56</v>
      </c>
      <c r="C124" s="128" t="s">
        <v>323</v>
      </c>
      <c r="D124" s="232" t="s">
        <v>271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244</v>
      </c>
      <c r="B125" s="128" t="s">
        <v>61</v>
      </c>
      <c r="C125" s="128" t="s">
        <v>328</v>
      </c>
      <c r="D125" s="232" t="s">
        <v>271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244</v>
      </c>
      <c r="B126" s="128" t="s">
        <v>66</v>
      </c>
      <c r="C126" s="128" t="s">
        <v>333</v>
      </c>
      <c r="D126" s="232" t="s">
        <v>271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244</v>
      </c>
      <c r="B127" s="128" t="s">
        <v>19</v>
      </c>
      <c r="C127" s="128" t="s">
        <v>286</v>
      </c>
      <c r="D127" s="232" t="s">
        <v>271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244</v>
      </c>
      <c r="B128" s="128" t="s">
        <v>23</v>
      </c>
      <c r="C128" s="128" t="s">
        <v>290</v>
      </c>
      <c r="D128" s="232" t="s">
        <v>271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244</v>
      </c>
      <c r="B129" s="128" t="s">
        <v>27</v>
      </c>
      <c r="C129" s="128" t="s">
        <v>294</v>
      </c>
      <c r="D129" s="232" t="s">
        <v>271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244</v>
      </c>
      <c r="B130" s="128" t="s">
        <v>31</v>
      </c>
      <c r="C130" s="128" t="s">
        <v>298</v>
      </c>
      <c r="D130" s="232" t="s">
        <v>271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244</v>
      </c>
      <c r="B131" s="128" t="s">
        <v>20</v>
      </c>
      <c r="C131" s="128" t="s">
        <v>287</v>
      </c>
      <c r="D131" s="232" t="s">
        <v>271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244</v>
      </c>
      <c r="B132" s="128" t="s">
        <v>24</v>
      </c>
      <c r="C132" s="128" t="s">
        <v>291</v>
      </c>
      <c r="D132" s="232" t="s">
        <v>271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244</v>
      </c>
      <c r="B133" s="128" t="s">
        <v>28</v>
      </c>
      <c r="C133" s="128" t="s">
        <v>295</v>
      </c>
      <c r="D133" s="232" t="s">
        <v>271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244</v>
      </c>
      <c r="B134" s="128" t="s">
        <v>32</v>
      </c>
      <c r="C134" s="128" t="s">
        <v>299</v>
      </c>
      <c r="D134" s="232" t="s">
        <v>271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244</v>
      </c>
      <c r="B135" s="128" t="s">
        <v>34</v>
      </c>
      <c r="C135" s="128" t="s">
        <v>301</v>
      </c>
      <c r="D135" s="232" t="s">
        <v>271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244</v>
      </c>
      <c r="B136" s="128" t="s">
        <v>38</v>
      </c>
      <c r="C136" s="128" t="s">
        <v>305</v>
      </c>
      <c r="D136" s="232" t="s">
        <v>271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244</v>
      </c>
      <c r="B137" s="128" t="s">
        <v>42</v>
      </c>
      <c r="C137" s="128" t="s">
        <v>309</v>
      </c>
      <c r="D137" s="232" t="s">
        <v>271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244</v>
      </c>
      <c r="B138" s="128" t="s">
        <v>46</v>
      </c>
      <c r="C138" s="128" t="s">
        <v>313</v>
      </c>
      <c r="D138" s="232" t="s">
        <v>271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244</v>
      </c>
      <c r="B139" s="128" t="s">
        <v>35</v>
      </c>
      <c r="C139" s="128" t="s">
        <v>302</v>
      </c>
      <c r="D139" s="232" t="s">
        <v>271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244</v>
      </c>
      <c r="B140" s="128" t="s">
        <v>39</v>
      </c>
      <c r="C140" s="128" t="s">
        <v>306</v>
      </c>
      <c r="D140" s="232" t="s">
        <v>271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244</v>
      </c>
      <c r="B141" s="128" t="s">
        <v>43</v>
      </c>
      <c r="C141" s="128" t="s">
        <v>310</v>
      </c>
      <c r="D141" s="232" t="s">
        <v>271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244</v>
      </c>
      <c r="B142" s="128" t="s">
        <v>47</v>
      </c>
      <c r="C142" s="128" t="s">
        <v>314</v>
      </c>
      <c r="D142" s="232" t="s">
        <v>271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244</v>
      </c>
      <c r="B143" s="128" t="s">
        <v>10</v>
      </c>
      <c r="C143" s="128" t="s">
        <v>277</v>
      </c>
      <c r="D143" s="232" t="s">
        <v>271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244</v>
      </c>
      <c r="B144" s="128" t="s">
        <v>12</v>
      </c>
      <c r="C144" s="128" t="s">
        <v>279</v>
      </c>
      <c r="D144" s="232" t="s">
        <v>271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244</v>
      </c>
      <c r="B145" s="128" t="s">
        <v>14</v>
      </c>
      <c r="C145" s="128" t="s">
        <v>281</v>
      </c>
      <c r="D145" s="232" t="s">
        <v>271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244</v>
      </c>
      <c r="B146" s="128" t="s">
        <v>16</v>
      </c>
      <c r="C146" s="128" t="s">
        <v>283</v>
      </c>
      <c r="D146" s="232" t="s">
        <v>271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244</v>
      </c>
      <c r="B147" s="128" t="s">
        <v>36</v>
      </c>
      <c r="C147" s="128" t="s">
        <v>303</v>
      </c>
      <c r="D147" s="232" t="s">
        <v>271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244</v>
      </c>
      <c r="B148" s="128" t="s">
        <v>40</v>
      </c>
      <c r="C148" s="128" t="s">
        <v>307</v>
      </c>
      <c r="D148" s="232" t="s">
        <v>271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244</v>
      </c>
      <c r="B149" s="128" t="s">
        <v>44</v>
      </c>
      <c r="C149" s="128" t="s">
        <v>311</v>
      </c>
      <c r="D149" s="232" t="s">
        <v>271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244</v>
      </c>
      <c r="B150" s="128" t="s">
        <v>48</v>
      </c>
      <c r="C150" s="128" t="s">
        <v>315</v>
      </c>
      <c r="D150" s="232" t="s">
        <v>271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244</v>
      </c>
      <c r="B151" s="128" t="s">
        <v>52</v>
      </c>
      <c r="C151" s="128" t="s">
        <v>319</v>
      </c>
      <c r="D151" s="232" t="s">
        <v>271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244</v>
      </c>
      <c r="B152" s="128" t="s">
        <v>57</v>
      </c>
      <c r="C152" s="128" t="s">
        <v>324</v>
      </c>
      <c r="D152" s="232" t="s">
        <v>271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244</v>
      </c>
      <c r="B153" s="128" t="s">
        <v>62</v>
      </c>
      <c r="C153" s="128" t="s">
        <v>329</v>
      </c>
      <c r="D153" s="232" t="s">
        <v>271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244</v>
      </c>
      <c r="B154" s="128" t="s">
        <v>67</v>
      </c>
      <c r="C154" s="128" t="s">
        <v>334</v>
      </c>
      <c r="D154" s="232" t="s">
        <v>271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244</v>
      </c>
      <c r="B155" s="128" t="s">
        <v>53</v>
      </c>
      <c r="C155" s="128" t="s">
        <v>320</v>
      </c>
      <c r="D155" s="232" t="s">
        <v>271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244</v>
      </c>
      <c r="B156" s="128" t="s">
        <v>58</v>
      </c>
      <c r="C156" s="128" t="s">
        <v>325</v>
      </c>
      <c r="D156" s="232" t="s">
        <v>271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244</v>
      </c>
      <c r="B157" s="128" t="s">
        <v>63</v>
      </c>
      <c r="C157" s="128" t="s">
        <v>330</v>
      </c>
      <c r="D157" s="232" t="s">
        <v>271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244</v>
      </c>
      <c r="B158" s="128" t="s">
        <v>68</v>
      </c>
      <c r="C158" s="128" t="s">
        <v>335</v>
      </c>
      <c r="D158" s="232" t="s">
        <v>271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457</v>
      </c>
      <c r="B1" s="128"/>
      <c r="D1" s="214" t="s">
        <v>545</v>
      </c>
    </row>
    <row r="2" spans="1:16">
      <c r="A2" s="234"/>
      <c r="B2" s="233" t="s">
        <v>458</v>
      </c>
    </row>
    <row r="3" spans="1:16" ht="20.100000000000001" customHeight="1">
      <c r="A3" s="352" t="s">
        <v>247</v>
      </c>
      <c r="B3" s="235" t="s">
        <v>85</v>
      </c>
      <c r="C3" s="236"/>
      <c r="D3" s="354" t="s">
        <v>459</v>
      </c>
      <c r="E3" s="355"/>
      <c r="F3" s="355"/>
      <c r="G3" s="355"/>
      <c r="H3" s="355"/>
      <c r="I3" s="355"/>
      <c r="J3" s="356"/>
      <c r="K3" s="237"/>
      <c r="L3" s="237"/>
      <c r="M3" s="237"/>
      <c r="N3" s="237"/>
      <c r="O3" s="238"/>
      <c r="P3" s="237"/>
    </row>
    <row r="4" spans="1:16" ht="20.100000000000001" customHeight="1">
      <c r="A4" s="353"/>
      <c r="B4" s="239"/>
      <c r="C4" s="240"/>
      <c r="D4" s="241" t="s">
        <v>86</v>
      </c>
      <c r="E4" s="241" t="s">
        <v>87</v>
      </c>
      <c r="F4" s="241" t="s">
        <v>88</v>
      </c>
      <c r="G4" s="241" t="s">
        <v>89</v>
      </c>
      <c r="H4" s="241" t="s">
        <v>90</v>
      </c>
      <c r="I4" s="241" t="s">
        <v>91</v>
      </c>
      <c r="J4" s="241" t="s">
        <v>92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93</v>
      </c>
      <c r="C5" s="240"/>
      <c r="D5" s="241" t="s">
        <v>94</v>
      </c>
      <c r="E5" s="241" t="s">
        <v>95</v>
      </c>
      <c r="F5" s="241" t="s">
        <v>96</v>
      </c>
      <c r="G5" s="241" t="s">
        <v>97</v>
      </c>
      <c r="H5" s="241" t="s">
        <v>98</v>
      </c>
      <c r="I5" s="241" t="s">
        <v>99</v>
      </c>
      <c r="J5" s="241" t="s">
        <v>100</v>
      </c>
      <c r="K5" s="241" t="s">
        <v>101</v>
      </c>
      <c r="L5" s="242" t="s">
        <v>102</v>
      </c>
      <c r="M5" s="242" t="s">
        <v>103</v>
      </c>
      <c r="N5" s="244" t="s">
        <v>146</v>
      </c>
      <c r="O5" s="244" t="s">
        <v>249</v>
      </c>
      <c r="P5" s="245" t="s">
        <v>248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104</v>
      </c>
      <c r="C7" s="249" t="s">
        <v>105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101</v>
      </c>
      <c r="M7" s="251">
        <f t="shared" ref="M7:M21" si="0">MAX(D7:J7)</f>
        <v>1</v>
      </c>
      <c r="N7" s="252" t="s">
        <v>367</v>
      </c>
      <c r="O7" s="247"/>
      <c r="P7" s="241"/>
    </row>
    <row r="8" spans="1:16" ht="21" customHeight="1">
      <c r="A8" s="248">
        <v>2</v>
      </c>
      <c r="B8" s="241" t="s">
        <v>106</v>
      </c>
      <c r="C8" s="249" t="s">
        <v>107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101</v>
      </c>
      <c r="M8" s="251">
        <f t="shared" si="0"/>
        <v>1</v>
      </c>
      <c r="N8" s="252" t="s">
        <v>367</v>
      </c>
      <c r="O8" s="247"/>
      <c r="P8" s="241"/>
    </row>
    <row r="9" spans="1:16" ht="21" customHeight="1">
      <c r="A9" s="248">
        <v>3</v>
      </c>
      <c r="B9" s="241" t="s">
        <v>245</v>
      </c>
      <c r="C9" s="253" t="s">
        <v>4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101</v>
      </c>
      <c r="M9" s="251">
        <f t="shared" ref="M9" si="1">MAX(D9:J9)</f>
        <v>1</v>
      </c>
      <c r="N9" s="252" t="s">
        <v>4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108</v>
      </c>
      <c r="C11" s="257" t="s">
        <v>109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95</v>
      </c>
      <c r="M11" s="251">
        <f t="shared" si="0"/>
        <v>1.0522626697461936</v>
      </c>
      <c r="N11" s="252" t="s">
        <v>252</v>
      </c>
      <c r="O11" s="247" t="s">
        <v>250</v>
      </c>
      <c r="P11" s="241"/>
    </row>
    <row r="12" spans="1:16">
      <c r="A12" s="248">
        <v>5</v>
      </c>
      <c r="B12" s="241" t="s">
        <v>110</v>
      </c>
      <c r="C12" s="257" t="s">
        <v>111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94</v>
      </c>
      <c r="M12" s="251">
        <f t="shared" si="0"/>
        <v>1.0358469949391176</v>
      </c>
      <c r="N12" s="252" t="s">
        <v>252</v>
      </c>
      <c r="O12" s="247" t="s">
        <v>250</v>
      </c>
      <c r="P12" s="241"/>
    </row>
    <row r="13" spans="1:16">
      <c r="A13" s="248">
        <v>6</v>
      </c>
      <c r="B13" s="241" t="s">
        <v>112</v>
      </c>
      <c r="C13" s="257" t="s">
        <v>113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94</v>
      </c>
      <c r="M13" s="251">
        <f t="shared" si="0"/>
        <v>1.069856584592316</v>
      </c>
      <c r="N13" s="252" t="s">
        <v>252</v>
      </c>
      <c r="O13" s="247" t="s">
        <v>250</v>
      </c>
      <c r="P13" s="241"/>
    </row>
    <row r="14" spans="1:16" ht="21" customHeight="1">
      <c r="A14" s="248">
        <v>7</v>
      </c>
      <c r="B14" s="241" t="s">
        <v>114</v>
      </c>
      <c r="C14" s="257" t="s">
        <v>115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94</v>
      </c>
      <c r="M14" s="251">
        <f t="shared" si="0"/>
        <v>1.1052461688999999</v>
      </c>
      <c r="N14" s="252" t="s">
        <v>252</v>
      </c>
      <c r="O14" s="247" t="s">
        <v>250</v>
      </c>
      <c r="P14" s="241"/>
    </row>
    <row r="15" spans="1:16" ht="21" customHeight="1">
      <c r="A15" s="248">
        <v>8</v>
      </c>
      <c r="B15" s="241" t="s">
        <v>116</v>
      </c>
      <c r="C15" s="257" t="s">
        <v>117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95</v>
      </c>
      <c r="M15" s="251">
        <f t="shared" si="0"/>
        <v>1.0389446761000001</v>
      </c>
      <c r="N15" s="252" t="s">
        <v>252</v>
      </c>
      <c r="O15" s="247" t="s">
        <v>250</v>
      </c>
      <c r="P15" s="241"/>
    </row>
    <row r="16" spans="1:16" ht="21" customHeight="1">
      <c r="A16" s="248">
        <v>9</v>
      </c>
      <c r="B16" s="241" t="s">
        <v>122</v>
      </c>
      <c r="C16" s="257" t="s">
        <v>123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96</v>
      </c>
      <c r="M16" s="251">
        <f>MAX(D16:J16)</f>
        <v>1.2706602107</v>
      </c>
      <c r="N16" s="252" t="s">
        <v>252</v>
      </c>
      <c r="O16" s="247" t="s">
        <v>250</v>
      </c>
      <c r="P16" s="241"/>
    </row>
    <row r="17" spans="1:16" ht="21" customHeight="1">
      <c r="A17" s="248">
        <v>10</v>
      </c>
      <c r="B17" s="241" t="s">
        <v>118</v>
      </c>
      <c r="C17" s="258" t="s">
        <v>119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99</v>
      </c>
      <c r="M17" s="251">
        <f t="shared" si="0"/>
        <v>1.0355882019</v>
      </c>
      <c r="N17" s="252" t="s">
        <v>252</v>
      </c>
      <c r="O17" s="247" t="s">
        <v>251</v>
      </c>
      <c r="P17" s="241" t="s">
        <v>116</v>
      </c>
    </row>
    <row r="18" spans="1:16" ht="21" customHeight="1">
      <c r="A18" s="248">
        <v>11</v>
      </c>
      <c r="B18" s="241" t="s">
        <v>120</v>
      </c>
      <c r="C18" s="258" t="s">
        <v>121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98</v>
      </c>
      <c r="M18" s="251">
        <f t="shared" si="0"/>
        <v>1.1401797148999999</v>
      </c>
      <c r="N18" s="252" t="s">
        <v>252</v>
      </c>
      <c r="O18" s="247" t="s">
        <v>251</v>
      </c>
      <c r="P18" s="241" t="s">
        <v>122</v>
      </c>
    </row>
    <row r="19" spans="1:16" ht="21" customHeight="1">
      <c r="A19" s="248">
        <v>12</v>
      </c>
      <c r="B19" s="241" t="s">
        <v>124</v>
      </c>
      <c r="C19" s="258" t="s">
        <v>125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97</v>
      </c>
      <c r="M19" s="251">
        <f t="shared" si="0"/>
        <v>1.0552346931000001</v>
      </c>
      <c r="N19" s="252" t="s">
        <v>252</v>
      </c>
      <c r="O19" s="247" t="s">
        <v>251</v>
      </c>
      <c r="P19" s="241" t="s">
        <v>108</v>
      </c>
    </row>
    <row r="20" spans="1:16" ht="21" customHeight="1">
      <c r="A20" s="248">
        <v>13</v>
      </c>
      <c r="B20" s="241" t="s">
        <v>126</v>
      </c>
      <c r="C20" s="258" t="s">
        <v>127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94</v>
      </c>
      <c r="M20" s="251">
        <f t="shared" si="0"/>
        <v>1.0865859003</v>
      </c>
      <c r="N20" s="252" t="s">
        <v>252</v>
      </c>
      <c r="O20" s="247" t="s">
        <v>251</v>
      </c>
      <c r="P20" s="241" t="s">
        <v>110</v>
      </c>
    </row>
    <row r="21" spans="1:16" ht="24.75" customHeight="1">
      <c r="A21" s="248">
        <v>14</v>
      </c>
      <c r="B21" s="241" t="s">
        <v>128</v>
      </c>
      <c r="C21" s="258" t="s">
        <v>129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95</v>
      </c>
      <c r="M21" s="251">
        <f t="shared" si="0"/>
        <v>1.0522626697461936</v>
      </c>
      <c r="N21" s="252" t="s">
        <v>252</v>
      </c>
      <c r="O21" s="247" t="s">
        <v>251</v>
      </c>
      <c r="P21" s="241" t="s">
        <v>116</v>
      </c>
    </row>
    <row r="22" spans="1:16" ht="25.5">
      <c r="A22" s="248">
        <v>15</v>
      </c>
      <c r="B22" s="241" t="s">
        <v>130</v>
      </c>
      <c r="C22" s="259" t="s">
        <v>131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95</v>
      </c>
      <c r="M22" s="251">
        <f>MAX(D22:J22)</f>
        <v>1.03</v>
      </c>
      <c r="N22" s="252" t="s">
        <v>252</v>
      </c>
      <c r="O22" s="247" t="s">
        <v>251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Gauß, Sabrina</cp:lastModifiedBy>
  <cp:lastPrinted>2015-03-20T22:59:10Z</cp:lastPrinted>
  <dcterms:created xsi:type="dcterms:W3CDTF">2015-01-15T05:25:41Z</dcterms:created>
  <dcterms:modified xsi:type="dcterms:W3CDTF">2018-11-14T13:08:06Z</dcterms:modified>
</cp:coreProperties>
</file>